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omments2.xml" ContentType="application/vnd.openxmlformats-officedocument.spreadsheetml.comment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omments3.xml" ContentType="application/vnd.openxmlformats-officedocument.spreadsheetml.comment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SPYDER\William\My Documents\Statistical PERT\Site Downloads\SPERT Cherry Blossom\"/>
    </mc:Choice>
  </mc:AlternateContent>
  <xr:revisionPtr revIDLastSave="0" documentId="13_ncr:1_{61C84945-C269-40C8-996F-C50C8DCE9390}" xr6:coauthVersionLast="47" xr6:coauthVersionMax="47" xr10:uidLastSave="{00000000-0000-0000-0000-000000000000}"/>
  <bookViews>
    <workbookView xWindow="-98" yWindow="-98" windowWidth="21795" windowHeight="12975" xr2:uid="{00000000-000D-0000-FFFF-FFFF00000000}"/>
  </bookViews>
  <sheets>
    <sheet name="Welcome!" sheetId="12" r:id="rId1"/>
    <sheet name="README for Version 1" sheetId="26" r:id="rId2"/>
    <sheet name="Super Simple SPERT®" sheetId="18" r:id="rId3"/>
    <sheet name="SPERT® 1921-2025" sheetId="19" r:id="rId4"/>
    <sheet name="SPERT® 1976-2025" sheetId="30" r:id="rId5"/>
    <sheet name="SPERT® 2001-2025" sheetId="31" r:id="rId6"/>
    <sheet name="1921-2025 Historical Data" sheetId="27" r:id="rId7"/>
    <sheet name="VLookups" sheetId="5" r:id="rId8"/>
    <sheet name="Collabinart®" sheetId="20" state="hidden" r:id="rId9"/>
    <sheet name="Change Log" sheetId="10" r:id="rId10"/>
    <sheet name="GNU GPL" sheetId="22" r:id="rId11"/>
  </sheets>
  <definedNames>
    <definedName name="_AtRisk_FitDataRange_FIT_25A41_BEC60" hidden="1">#REF!</definedName>
    <definedName name="_AtRisk_FitDataRange_FIT_5E747_5E5C3" hidden="1">#REF!</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GoalSeekTargetValue" hidden="1">0</definedName>
    <definedName name="_AtRisk_SimSetting_LiveUpdate" hidden="1">TRUE</definedName>
    <definedName name="_AtRisk_SimSetting_MacroMode" hidden="1">0</definedName>
    <definedName name="_AtRisk_SimSetting_MacroRecalculationBehavior" hidden="1">0</definedName>
    <definedName name="_AtRisk_SimSetting_MaxAutoIterations" hidden="1">50000</definedName>
    <definedName name="_AtRisk_SimSetting_MultipleCPUCount" hidden="1">2</definedName>
    <definedName name="_AtRisk_SimSetting_MultipleCPUManualCount" hidden="1">2</definedName>
    <definedName name="_AtRisk_SimSetting_MultipleCPUMode" hidden="1">2</definedName>
    <definedName name="_AtRisk_SimSetting_MultipleCPUModeV8" hidden="1">2</definedName>
    <definedName name="_AtRisk_SimSetting_RandomNumberGenerator"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Pal_Workbook_GUID" hidden="1">"2VWFXWNI4UF9WJEWK3FPFW5B"</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8</definedName>
    <definedName name="RiskMinimizeOnStart" hidden="1">FALSE</definedName>
    <definedName name="RiskMonitorConvergence" hidden="1">FALSE</definedName>
    <definedName name="RiskMultipleCPUSupportEnabled" hidden="1">FALSE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S9" i="27" l="1"/>
  <c r="S8" i="27"/>
  <c r="S7" i="27"/>
  <c r="S6" i="27"/>
  <c r="O9" i="27"/>
  <c r="O8" i="27"/>
  <c r="O7" i="27"/>
  <c r="O6" i="27"/>
  <c r="D115" i="27"/>
  <c r="D114" i="27"/>
  <c r="K9" i="27"/>
  <c r="K6" i="27"/>
  <c r="A118" i="27"/>
  <c r="B28" i="31"/>
  <c r="B28" i="30"/>
  <c r="B28" i="19"/>
  <c r="B29" i="18"/>
  <c r="B22" i="26"/>
  <c r="B36" i="12"/>
  <c r="A42" i="5"/>
  <c r="K7" i="27" l="1"/>
  <c r="K8" i="27"/>
  <c r="B14" i="31"/>
  <c r="B11" i="31"/>
  <c r="G7" i="31"/>
  <c r="D9" i="31" s="1"/>
  <c r="M5" i="31"/>
  <c r="D5" i="31"/>
  <c r="C5" i="31"/>
  <c r="B5" i="31"/>
  <c r="V4" i="31"/>
  <c r="K4" i="31"/>
  <c r="G4" i="31"/>
  <c r="F4" i="31"/>
  <c r="E4" i="31"/>
  <c r="Q1" i="31"/>
  <c r="B14" i="30"/>
  <c r="B11" i="30"/>
  <c r="G7" i="30"/>
  <c r="M5" i="30"/>
  <c r="D5" i="30"/>
  <c r="C5" i="30"/>
  <c r="B5" i="30"/>
  <c r="V4" i="30"/>
  <c r="K4" i="30"/>
  <c r="N4" i="30" s="1"/>
  <c r="G4" i="30"/>
  <c r="G5" i="30" s="1"/>
  <c r="F4" i="30"/>
  <c r="E4" i="30"/>
  <c r="Q1" i="30"/>
  <c r="Q1" i="19"/>
  <c r="C7" i="18"/>
  <c r="C8" i="18" s="1"/>
  <c r="C10" i="18" s="1"/>
  <c r="T4" i="31" l="1"/>
  <c r="T5" i="31" s="1"/>
  <c r="D12" i="31"/>
  <c r="D10" i="31"/>
  <c r="DS4" i="31"/>
  <c r="DR4" i="31" s="1"/>
  <c r="L4" i="30"/>
  <c r="L5" i="30" s="1"/>
  <c r="J5" i="30" s="1"/>
  <c r="O4" i="30"/>
  <c r="O5" i="30" s="1"/>
  <c r="Q4" i="30"/>
  <c r="Q5" i="30" s="1"/>
  <c r="S4" i="30"/>
  <c r="S5" i="30" s="1"/>
  <c r="T4" i="30"/>
  <c r="T5" i="30" s="1"/>
  <c r="L4" i="31"/>
  <c r="L5" i="31" s="1"/>
  <c r="J5" i="31" s="1"/>
  <c r="G5" i="31"/>
  <c r="O4" i="31"/>
  <c r="O5" i="31" s="1"/>
  <c r="P4" i="31"/>
  <c r="P5" i="31" s="1"/>
  <c r="N4" i="31"/>
  <c r="Q4" i="31"/>
  <c r="Q5" i="31" s="1"/>
  <c r="R4" i="31"/>
  <c r="R5" i="31" s="1"/>
  <c r="S4" i="31"/>
  <c r="S5" i="31" s="1"/>
  <c r="D13" i="31"/>
  <c r="D10" i="30"/>
  <c r="D13" i="30"/>
  <c r="D12" i="30"/>
  <c r="D9" i="30"/>
  <c r="DS4" i="30"/>
  <c r="P4" i="30"/>
  <c r="P5" i="30" s="1"/>
  <c r="R4" i="30"/>
  <c r="R5" i="30" s="1"/>
  <c r="C9" i="18"/>
  <c r="LL4" i="31" l="1"/>
  <c r="LL10" i="31" s="1"/>
  <c r="LL9" i="31"/>
  <c r="LK4" i="31"/>
  <c r="LK10" i="31" s="1"/>
  <c r="DQ4" i="31"/>
  <c r="DP4" i="31" s="1"/>
  <c r="DT4" i="31"/>
  <c r="LK9" i="31"/>
  <c r="R7" i="30"/>
  <c r="D17" i="30"/>
  <c r="N7" i="30"/>
  <c r="D23" i="30"/>
  <c r="O7" i="30"/>
  <c r="D25" i="30"/>
  <c r="D24" i="30"/>
  <c r="S7" i="30"/>
  <c r="D18" i="30"/>
  <c r="Q7" i="30"/>
  <c r="N5" i="30"/>
  <c r="T7" i="30"/>
  <c r="P7" i="30"/>
  <c r="D25" i="31"/>
  <c r="D24" i="31"/>
  <c r="S7" i="31"/>
  <c r="D23" i="31"/>
  <c r="R7" i="31"/>
  <c r="N5" i="31"/>
  <c r="D18" i="31"/>
  <c r="D17" i="31"/>
  <c r="O7" i="31"/>
  <c r="P7" i="31"/>
  <c r="N7" i="31"/>
  <c r="T7" i="31"/>
  <c r="Q7" i="31"/>
  <c r="LL8" i="30"/>
  <c r="LL4" i="30"/>
  <c r="LL10" i="30" s="1"/>
  <c r="DT4" i="30"/>
  <c r="DR4" i="30"/>
  <c r="B14" i="19"/>
  <c r="V4" i="19"/>
  <c r="LJ10" i="31" l="1"/>
  <c r="LJ4" i="31"/>
  <c r="LJ8" i="31" s="1"/>
  <c r="LJ9" i="31"/>
  <c r="LM10" i="31"/>
  <c r="LL8" i="31"/>
  <c r="LL11" i="31" s="1"/>
  <c r="LK8" i="31"/>
  <c r="LK11" i="31" s="1"/>
  <c r="DU4" i="31"/>
  <c r="LM4" i="31"/>
  <c r="LM9" i="31" s="1"/>
  <c r="LI9" i="31"/>
  <c r="DO4" i="31"/>
  <c r="LI4" i="31"/>
  <c r="LI10" i="31" s="1"/>
  <c r="D19" i="30"/>
  <c r="LL9" i="30"/>
  <c r="LL11" i="30" s="1"/>
  <c r="D19" i="31"/>
  <c r="LK10" i="30"/>
  <c r="LK8" i="30"/>
  <c r="DQ4" i="30"/>
  <c r="LK4" i="30"/>
  <c r="LK9" i="30" s="1"/>
  <c r="LM8" i="30"/>
  <c r="LM4" i="30"/>
  <c r="LM10" i="30" s="1"/>
  <c r="DU4" i="30"/>
  <c r="DS4" i="19"/>
  <c r="DR4" i="19" s="1"/>
  <c r="DQ4" i="19" s="1"/>
  <c r="DP4" i="19" s="1"/>
  <c r="DO4" i="19" s="1"/>
  <c r="DN4" i="19" s="1"/>
  <c r="DM4" i="19" s="1"/>
  <c r="DL4" i="19" s="1"/>
  <c r="DK4" i="19" s="1"/>
  <c r="DJ4" i="19" s="1"/>
  <c r="DI4" i="19" s="1"/>
  <c r="DH4" i="19" s="1"/>
  <c r="DG4" i="19" s="1"/>
  <c r="DF4" i="19" s="1"/>
  <c r="DE4" i="19" s="1"/>
  <c r="DD4" i="19" s="1"/>
  <c r="DC4" i="19" s="1"/>
  <c r="DB4" i="19" s="1"/>
  <c r="DA4" i="19" s="1"/>
  <c r="CZ4" i="19" s="1"/>
  <c r="CY4" i="19" s="1"/>
  <c r="CX4" i="19" s="1"/>
  <c r="CW4" i="19" s="1"/>
  <c r="CV4" i="19" s="1"/>
  <c r="CU4" i="19" s="1"/>
  <c r="CT4" i="19" s="1"/>
  <c r="CS4" i="19" s="1"/>
  <c r="CR4" i="19" s="1"/>
  <c r="CQ4" i="19" s="1"/>
  <c r="CP4" i="19" s="1"/>
  <c r="CO4" i="19" s="1"/>
  <c r="CN4" i="19" s="1"/>
  <c r="CM4" i="19" s="1"/>
  <c r="CL4" i="19" s="1"/>
  <c r="CK4" i="19" s="1"/>
  <c r="CJ4" i="19" s="1"/>
  <c r="CI4" i="19" s="1"/>
  <c r="CH4" i="19" s="1"/>
  <c r="CG4" i="19" s="1"/>
  <c r="CF4" i="19" s="1"/>
  <c r="CE4" i="19" s="1"/>
  <c r="CD4" i="19" s="1"/>
  <c r="CC4" i="19" s="1"/>
  <c r="CB4" i="19" s="1"/>
  <c r="CA4" i="19" s="1"/>
  <c r="BZ4" i="19" s="1"/>
  <c r="BY4" i="19" s="1"/>
  <c r="BX4" i="19" s="1"/>
  <c r="BW4" i="19" s="1"/>
  <c r="BV4" i="19" s="1"/>
  <c r="BU4" i="19" s="1"/>
  <c r="BT4" i="19" s="1"/>
  <c r="BS4" i="19" s="1"/>
  <c r="BR4" i="19" s="1"/>
  <c r="BQ4" i="19" s="1"/>
  <c r="BP4" i="19" s="1"/>
  <c r="BO4" i="19" s="1"/>
  <c r="BN4" i="19" s="1"/>
  <c r="BM4" i="19" s="1"/>
  <c r="BL4" i="19" s="1"/>
  <c r="BK4" i="19" s="1"/>
  <c r="BJ4" i="19" s="1"/>
  <c r="BI4" i="19" s="1"/>
  <c r="BH4" i="19" s="1"/>
  <c r="BG4" i="19" s="1"/>
  <c r="BF4" i="19" s="1"/>
  <c r="BE4" i="19" s="1"/>
  <c r="BD4" i="19" s="1"/>
  <c r="BC4" i="19" s="1"/>
  <c r="BB4" i="19" s="1"/>
  <c r="BA4" i="19" s="1"/>
  <c r="AZ4" i="19" s="1"/>
  <c r="AY4" i="19" s="1"/>
  <c r="AX4" i="19" s="1"/>
  <c r="AW4" i="19" s="1"/>
  <c r="AV4" i="19" s="1"/>
  <c r="AU4" i="19" s="1"/>
  <c r="AT4" i="19" s="1"/>
  <c r="AS4" i="19" s="1"/>
  <c r="AR4" i="19" s="1"/>
  <c r="AQ4" i="19" s="1"/>
  <c r="AP4" i="19" s="1"/>
  <c r="AO4" i="19" s="1"/>
  <c r="AN4" i="19" s="1"/>
  <c r="AM4" i="19" s="1"/>
  <c r="AL4" i="19" s="1"/>
  <c r="AK4" i="19" s="1"/>
  <c r="AJ4" i="19" s="1"/>
  <c r="AI4" i="19" s="1"/>
  <c r="AH4" i="19" s="1"/>
  <c r="AG4" i="19" s="1"/>
  <c r="AF4" i="19" s="1"/>
  <c r="AE4" i="19" s="1"/>
  <c r="AD4" i="19" s="1"/>
  <c r="AC4" i="19" s="1"/>
  <c r="AB4" i="19" s="1"/>
  <c r="AA4" i="19" s="1"/>
  <c r="Z4" i="19" s="1"/>
  <c r="Y4" i="19" s="1"/>
  <c r="X4" i="19" s="1"/>
  <c r="W4" i="19" s="1"/>
  <c r="G7" i="19"/>
  <c r="B11" i="19"/>
  <c r="LJ11" i="31" l="1"/>
  <c r="LM8" i="31"/>
  <c r="LM11" i="31" s="1"/>
  <c r="LM9" i="30"/>
  <c r="LM11" i="30" s="1"/>
  <c r="LI8" i="31"/>
  <c r="LI11" i="31" s="1"/>
  <c r="LN4" i="31"/>
  <c r="LN9" i="31" s="1"/>
  <c r="LN10" i="31"/>
  <c r="DV4" i="31"/>
  <c r="DN4" i="31"/>
  <c r="LH4" i="31"/>
  <c r="LH10" i="31" s="1"/>
  <c r="LH9" i="31"/>
  <c r="LN8" i="30"/>
  <c r="DV4" i="30"/>
  <c r="LN4" i="30"/>
  <c r="LN10" i="30" s="1"/>
  <c r="DP4" i="30"/>
  <c r="LJ4" i="30"/>
  <c r="LJ10" i="30" s="1"/>
  <c r="LK11" i="30"/>
  <c r="D13" i="19"/>
  <c r="D12" i="19"/>
  <c r="D9" i="19"/>
  <c r="D10" i="19"/>
  <c r="LN8" i="31" l="1"/>
  <c r="LN11" i="31" s="1"/>
  <c r="LJ8" i="30"/>
  <c r="LH8" i="31"/>
  <c r="LH11" i="31" s="1"/>
  <c r="LN9" i="30"/>
  <c r="LN11" i="30" s="1"/>
  <c r="LO10" i="31"/>
  <c r="LO4" i="31"/>
  <c r="LO9" i="31" s="1"/>
  <c r="DW4" i="31"/>
  <c r="LG4" i="31"/>
  <c r="LG8" i="31" s="1"/>
  <c r="LG9" i="31"/>
  <c r="DM4" i="31"/>
  <c r="LG10" i="31"/>
  <c r="LJ9" i="30"/>
  <c r="DO4" i="30"/>
  <c r="LI4" i="30"/>
  <c r="LI10" i="30" s="1"/>
  <c r="LO8" i="30"/>
  <c r="DW4" i="30"/>
  <c r="LO4" i="30"/>
  <c r="LO10" i="30" s="1"/>
  <c r="K4" i="19"/>
  <c r="LO8" i="31" l="1"/>
  <c r="LO11" i="31" s="1"/>
  <c r="LJ11" i="30"/>
  <c r="LI8" i="30"/>
  <c r="LO9" i="30"/>
  <c r="LO11" i="30" s="1"/>
  <c r="LG11" i="31"/>
  <c r="DX4" i="31"/>
  <c r="LP4" i="31"/>
  <c r="LP10" i="31" s="1"/>
  <c r="LF9" i="31"/>
  <c r="LF10" i="31"/>
  <c r="LF4" i="31"/>
  <c r="LF8" i="31" s="1"/>
  <c r="DL4" i="31"/>
  <c r="LI9" i="30"/>
  <c r="LI11" i="30" s="1"/>
  <c r="LP8" i="30"/>
  <c r="LP4" i="30"/>
  <c r="LP10" i="30" s="1"/>
  <c r="DX4" i="30"/>
  <c r="LH10" i="30"/>
  <c r="DN4" i="30"/>
  <c r="LH4" i="30"/>
  <c r="LH9" i="30" s="1"/>
  <c r="M5" i="19"/>
  <c r="D5" i="19"/>
  <c r="C5" i="19"/>
  <c r="B5" i="19"/>
  <c r="L4" i="19"/>
  <c r="L5" i="19" s="1"/>
  <c r="J5" i="19" s="1"/>
  <c r="G4" i="19"/>
  <c r="G5" i="19" s="1"/>
  <c r="F4" i="19"/>
  <c r="E4" i="19"/>
  <c r="B18" i="5"/>
  <c r="B17" i="5"/>
  <c r="B23" i="5"/>
  <c r="B22" i="5"/>
  <c r="LP8" i="31" l="1"/>
  <c r="LH8" i="30"/>
  <c r="LH11" i="30" s="1"/>
  <c r="LP9" i="30"/>
  <c r="LP11" i="30" s="1"/>
  <c r="LF11" i="31"/>
  <c r="LP9" i="31"/>
  <c r="LQ4" i="31"/>
  <c r="LQ10" i="31" s="1"/>
  <c r="LQ8" i="31"/>
  <c r="DY4" i="31"/>
  <c r="LE9" i="31"/>
  <c r="LE10" i="31"/>
  <c r="DK4" i="31"/>
  <c r="LE4" i="31"/>
  <c r="LE8" i="31" s="1"/>
  <c r="DM4" i="30"/>
  <c r="LG4" i="30"/>
  <c r="LG10" i="30" s="1"/>
  <c r="DY4" i="30"/>
  <c r="LQ8" i="30"/>
  <c r="LQ4" i="30"/>
  <c r="LQ10" i="30" s="1"/>
  <c r="N4" i="19"/>
  <c r="S4" i="19"/>
  <c r="S5" i="19" s="1"/>
  <c r="P4" i="19"/>
  <c r="P5" i="19" s="1"/>
  <c r="Q4" i="19"/>
  <c r="Q5" i="19" s="1"/>
  <c r="O4" i="19"/>
  <c r="O5" i="19" s="1"/>
  <c r="T4" i="19"/>
  <c r="T5" i="19" s="1"/>
  <c r="R4" i="19"/>
  <c r="R5" i="19" s="1"/>
  <c r="D25" i="19"/>
  <c r="N7" i="19"/>
  <c r="R7" i="19"/>
  <c r="D17" i="19"/>
  <c r="Q7" i="19"/>
  <c r="O7" i="19"/>
  <c r="T7" i="19"/>
  <c r="N5" i="19"/>
  <c r="D23" i="19"/>
  <c r="S7" i="19"/>
  <c r="D24" i="19"/>
  <c r="D18" i="19"/>
  <c r="P7" i="19"/>
  <c r="LP11" i="31" l="1"/>
  <c r="LQ9" i="30"/>
  <c r="LE11" i="31"/>
  <c r="LG8" i="30"/>
  <c r="LG9" i="30"/>
  <c r="LQ9" i="31"/>
  <c r="LQ11" i="31" s="1"/>
  <c r="DZ4" i="31"/>
  <c r="LR4" i="31"/>
  <c r="LR10" i="31" s="1"/>
  <c r="LR8" i="31"/>
  <c r="DJ4" i="31"/>
  <c r="LD4" i="31"/>
  <c r="LD9" i="31" s="1"/>
  <c r="LD10" i="31"/>
  <c r="DL4" i="30"/>
  <c r="LF4" i="30"/>
  <c r="LF10" i="30" s="1"/>
  <c r="LR8" i="30"/>
  <c r="DZ4" i="30"/>
  <c r="LR4" i="30"/>
  <c r="LR10" i="30" s="1"/>
  <c r="LQ11" i="30"/>
  <c r="D19" i="19"/>
  <c r="LR9" i="30" l="1"/>
  <c r="LG11" i="30"/>
  <c r="LF8" i="30"/>
  <c r="LR9" i="31"/>
  <c r="LR11" i="31" s="1"/>
  <c r="LD8" i="31"/>
  <c r="LD11" i="31" s="1"/>
  <c r="LS4" i="31"/>
  <c r="LS10" i="31" s="1"/>
  <c r="EA4" i="31"/>
  <c r="LS8" i="31"/>
  <c r="LC4" i="31"/>
  <c r="LC8" i="31" s="1"/>
  <c r="LC10" i="31"/>
  <c r="DI4" i="31"/>
  <c r="LC9" i="31"/>
  <c r="LF9" i="30"/>
  <c r="LS4" i="30"/>
  <c r="LS10" i="30" s="1"/>
  <c r="LS9" i="30"/>
  <c r="LS8" i="30"/>
  <c r="EA4" i="30"/>
  <c r="LE10" i="30"/>
  <c r="DK4" i="30"/>
  <c r="LE4" i="30"/>
  <c r="LE9" i="30" s="1"/>
  <c r="LR11" i="30"/>
  <c r="LE8" i="30" l="1"/>
  <c r="LE11" i="30" s="1"/>
  <c r="LF11" i="30"/>
  <c r="LS9" i="31"/>
  <c r="LS11" i="31" s="1"/>
  <c r="LC11" i="31"/>
  <c r="LT8" i="31"/>
  <c r="LT4" i="31"/>
  <c r="LT10" i="31" s="1"/>
  <c r="EB4" i="31"/>
  <c r="LB4" i="31"/>
  <c r="LB9" i="31" s="1"/>
  <c r="DH4" i="31"/>
  <c r="LB10" i="31"/>
  <c r="LS11" i="30"/>
  <c r="LD10" i="30"/>
  <c r="DJ4" i="30"/>
  <c r="LD4" i="30"/>
  <c r="LD9" i="30" s="1"/>
  <c r="LT8" i="30"/>
  <c r="LT9" i="30"/>
  <c r="EB4" i="30"/>
  <c r="LT4" i="30"/>
  <c r="LT10" i="30" s="1"/>
  <c r="LB8" i="31" l="1"/>
  <c r="LB11" i="31" s="1"/>
  <c r="LD8" i="30"/>
  <c r="LD11" i="30" s="1"/>
  <c r="LU8" i="31"/>
  <c r="LU4" i="31"/>
  <c r="LU10" i="31" s="1"/>
  <c r="EC4" i="31"/>
  <c r="LT9" i="31"/>
  <c r="LT11" i="31" s="1"/>
  <c r="DG4" i="31"/>
  <c r="LA10" i="31"/>
  <c r="LA4" i="31"/>
  <c r="LA9" i="31" s="1"/>
  <c r="LU8" i="30"/>
  <c r="LU9" i="30"/>
  <c r="LU4" i="30"/>
  <c r="LU10" i="30" s="1"/>
  <c r="EC4" i="30"/>
  <c r="LC10" i="30"/>
  <c r="DI4" i="30"/>
  <c r="LC4" i="30"/>
  <c r="LC8" i="30" s="1"/>
  <c r="LT11" i="30"/>
  <c r="LU9" i="31" l="1"/>
  <c r="LU11" i="31" s="1"/>
  <c r="LC9" i="30"/>
  <c r="LC11" i="30" s="1"/>
  <c r="LV8" i="31"/>
  <c r="ED4" i="31"/>
  <c r="LV4" i="31"/>
  <c r="LV10" i="31" s="1"/>
  <c r="LA8" i="31"/>
  <c r="LA11" i="31" s="1"/>
  <c r="DF4" i="31"/>
  <c r="KZ4" i="31"/>
  <c r="KZ9" i="31" s="1"/>
  <c r="KZ10" i="31"/>
  <c r="LB10" i="30"/>
  <c r="DH4" i="30"/>
  <c r="LB4" i="30"/>
  <c r="LB9" i="30" s="1"/>
  <c r="LV9" i="30"/>
  <c r="LV8" i="30"/>
  <c r="LV4" i="30"/>
  <c r="LV10" i="30" s="1"/>
  <c r="ED4" i="30"/>
  <c r="LU11" i="30"/>
  <c r="LV9" i="31" l="1"/>
  <c r="LV11" i="31" s="1"/>
  <c r="LB8" i="30"/>
  <c r="LB11" i="30" s="1"/>
  <c r="LW4" i="31"/>
  <c r="LW10" i="31" s="1"/>
  <c r="EE4" i="31"/>
  <c r="LW8" i="31"/>
  <c r="KZ8" i="31"/>
  <c r="KZ11" i="31" s="1"/>
  <c r="DE4" i="31"/>
  <c r="KY10" i="31"/>
  <c r="KY4" i="31"/>
  <c r="KY9" i="31" s="1"/>
  <c r="LW9" i="30"/>
  <c r="LW8" i="30"/>
  <c r="LW4" i="30"/>
  <c r="LW10" i="30" s="1"/>
  <c r="EE4" i="30"/>
  <c r="LA10" i="30"/>
  <c r="LA4" i="30"/>
  <c r="LA8" i="30" s="1"/>
  <c r="DG4" i="30"/>
  <c r="LV11" i="30"/>
  <c r="LW9" i="31" l="1"/>
  <c r="LW11" i="31" s="1"/>
  <c r="LA9" i="30"/>
  <c r="LA11" i="30" s="1"/>
  <c r="KY8" i="31"/>
  <c r="KY11" i="31" s="1"/>
  <c r="EF4" i="31"/>
  <c r="LX4" i="31"/>
  <c r="LX10" i="31" s="1"/>
  <c r="LX8" i="31"/>
  <c r="KX10" i="31"/>
  <c r="KX4" i="31"/>
  <c r="KX9" i="31" s="1"/>
  <c r="DD4" i="31"/>
  <c r="KZ10" i="30"/>
  <c r="KZ4" i="30"/>
  <c r="KZ9" i="30" s="1"/>
  <c r="DF4" i="30"/>
  <c r="LW11" i="30"/>
  <c r="LX9" i="30"/>
  <c r="EF4" i="30"/>
  <c r="LX8" i="30"/>
  <c r="LX4" i="30"/>
  <c r="LX10" i="30" s="1"/>
  <c r="LX9" i="31" l="1"/>
  <c r="LX11" i="31" s="1"/>
  <c r="LY4" i="31"/>
  <c r="LY10" i="31" s="1"/>
  <c r="LY8" i="31"/>
  <c r="EG4" i="31"/>
  <c r="DC4" i="31"/>
  <c r="KW4" i="31"/>
  <c r="KW9" i="31" s="1"/>
  <c r="KW10" i="31"/>
  <c r="KX8" i="31"/>
  <c r="KX11" i="31" s="1"/>
  <c r="KZ8" i="30"/>
  <c r="KZ11" i="30" s="1"/>
  <c r="LX11" i="30"/>
  <c r="LY8" i="30"/>
  <c r="LY9" i="30"/>
  <c r="LY4" i="30"/>
  <c r="LY10" i="30" s="1"/>
  <c r="EG4" i="30"/>
  <c r="KY10" i="30"/>
  <c r="KY4" i="30"/>
  <c r="KY8" i="30" s="1"/>
  <c r="DE4" i="30"/>
  <c r="LY9" i="31" l="1"/>
  <c r="KY9" i="30"/>
  <c r="KY11" i="30" s="1"/>
  <c r="LZ8" i="31"/>
  <c r="EH4" i="31"/>
  <c r="LZ4" i="31"/>
  <c r="LZ10" i="31" s="1"/>
  <c r="LZ9" i="31"/>
  <c r="LY11" i="31"/>
  <c r="KW8" i="31"/>
  <c r="KW11" i="31" s="1"/>
  <c r="KV9" i="31"/>
  <c r="KV4" i="31"/>
  <c r="KV8" i="31" s="1"/>
  <c r="KV10" i="31"/>
  <c r="DB4" i="31"/>
  <c r="KX10" i="30"/>
  <c r="DD4" i="30"/>
  <c r="KX4" i="30"/>
  <c r="KX8" i="30" s="1"/>
  <c r="LZ8" i="30"/>
  <c r="LZ9" i="30"/>
  <c r="EH4" i="30"/>
  <c r="LZ4" i="30"/>
  <c r="LZ10" i="30" s="1"/>
  <c r="LY11" i="30"/>
  <c r="KV11" i="31" l="1"/>
  <c r="KX9" i="30"/>
  <c r="KX11" i="30" s="1"/>
  <c r="EI4" i="31"/>
  <c r="MA8" i="31"/>
  <c r="MA9" i="31"/>
  <c r="MA4" i="31"/>
  <c r="MA10" i="31" s="1"/>
  <c r="LZ11" i="31"/>
  <c r="KU4" i="31"/>
  <c r="KU8" i="31" s="1"/>
  <c r="KU10" i="31"/>
  <c r="DA4" i="31"/>
  <c r="KU9" i="31"/>
  <c r="MA8" i="30"/>
  <c r="MA9" i="30"/>
  <c r="EI4" i="30"/>
  <c r="MA4" i="30"/>
  <c r="MA10" i="30" s="1"/>
  <c r="LZ11" i="30"/>
  <c r="KW10" i="30"/>
  <c r="KW4" i="30"/>
  <c r="KW9" i="30" s="1"/>
  <c r="DC4" i="30"/>
  <c r="MA11" i="31" l="1"/>
  <c r="EJ4" i="31"/>
  <c r="MB4" i="31"/>
  <c r="MB10" i="31" s="1"/>
  <c r="MB9" i="31"/>
  <c r="MB8" i="31"/>
  <c r="CZ4" i="31"/>
  <c r="KT4" i="31"/>
  <c r="KT8" i="31" s="1"/>
  <c r="KT9" i="31"/>
  <c r="KT10" i="31"/>
  <c r="KU11" i="31"/>
  <c r="KW8" i="30"/>
  <c r="KW11" i="30" s="1"/>
  <c r="KV9" i="30"/>
  <c r="KV10" i="30"/>
  <c r="KV4" i="30"/>
  <c r="KV8" i="30" s="1"/>
  <c r="DB4" i="30"/>
  <c r="MB9" i="30"/>
  <c r="EJ4" i="30"/>
  <c r="MB8" i="30"/>
  <c r="MB4" i="30"/>
  <c r="MB10" i="30" s="1"/>
  <c r="MA11" i="30"/>
  <c r="KV11" i="30" l="1"/>
  <c r="MB11" i="31"/>
  <c r="MC9" i="31"/>
  <c r="EK4" i="31"/>
  <c r="MC4" i="31"/>
  <c r="MC10" i="31" s="1"/>
  <c r="MC8" i="31"/>
  <c r="KT11" i="31"/>
  <c r="KS4" i="31"/>
  <c r="KS8" i="31" s="1"/>
  <c r="CY4" i="31"/>
  <c r="KS10" i="31"/>
  <c r="KS9" i="31"/>
  <c r="MB11" i="30"/>
  <c r="KU10" i="30"/>
  <c r="KU4" i="30"/>
  <c r="KU8" i="30" s="1"/>
  <c r="KU9" i="30"/>
  <c r="DA4" i="30"/>
  <c r="MC9" i="30"/>
  <c r="MC8" i="30"/>
  <c r="EK4" i="30"/>
  <c r="MC4" i="30"/>
  <c r="MC10" i="30" s="1"/>
  <c r="MC11" i="31" l="1"/>
  <c r="EL4" i="31"/>
  <c r="MD9" i="31"/>
  <c r="MD4" i="31"/>
  <c r="MD10" i="31" s="1"/>
  <c r="MD8" i="31"/>
  <c r="KR10" i="31"/>
  <c r="CX4" i="31"/>
  <c r="KR4" i="31"/>
  <c r="KR8" i="31" s="1"/>
  <c r="KR9" i="31"/>
  <c r="KS11" i="31"/>
  <c r="KU11" i="30"/>
  <c r="MD8" i="30"/>
  <c r="MD9" i="30"/>
  <c r="EL4" i="30"/>
  <c r="MD4" i="30"/>
  <c r="MD10" i="30" s="1"/>
  <c r="KT10" i="30"/>
  <c r="CZ4" i="30"/>
  <c r="KT9" i="30"/>
  <c r="KT4" i="30"/>
  <c r="KT8" i="30" s="1"/>
  <c r="MC11" i="30"/>
  <c r="KT11" i="30" l="1"/>
  <c r="MD11" i="31"/>
  <c r="ME9" i="31"/>
  <c r="EM4" i="31"/>
  <c r="ME4" i="31"/>
  <c r="ME10" i="31" s="1"/>
  <c r="ME8" i="31"/>
  <c r="KR11" i="31"/>
  <c r="KQ9" i="31"/>
  <c r="KQ4" i="31"/>
  <c r="KQ8" i="31" s="1"/>
  <c r="CW4" i="31"/>
  <c r="KQ10" i="31"/>
  <c r="ME8" i="30"/>
  <c r="ME9" i="30"/>
  <c r="ME4" i="30"/>
  <c r="ME10" i="30" s="1"/>
  <c r="EM4" i="30"/>
  <c r="KS9" i="30"/>
  <c r="KS10" i="30"/>
  <c r="KS4" i="30"/>
  <c r="KS8" i="30" s="1"/>
  <c r="CY4" i="30"/>
  <c r="MD11" i="30"/>
  <c r="KQ11" i="31" l="1"/>
  <c r="KS11" i="30"/>
  <c r="ME11" i="31"/>
  <c r="MF8" i="31"/>
  <c r="MF9" i="31"/>
  <c r="MF4" i="31"/>
  <c r="MF10" i="31" s="1"/>
  <c r="EN4" i="31"/>
  <c r="CV4" i="31"/>
  <c r="KP4" i="31"/>
  <c r="KP8" i="31" s="1"/>
  <c r="KP10" i="31"/>
  <c r="KP9" i="31"/>
  <c r="KR9" i="30"/>
  <c r="KR10" i="30"/>
  <c r="CX4" i="30"/>
  <c r="KR4" i="30"/>
  <c r="KR8" i="30" s="1"/>
  <c r="MF8" i="30"/>
  <c r="MF9" i="30"/>
  <c r="EN4" i="30"/>
  <c r="MF4" i="30"/>
  <c r="MF10" i="30" s="1"/>
  <c r="ME11" i="30"/>
  <c r="MG8" i="31" l="1"/>
  <c r="EO4" i="31"/>
  <c r="MG9" i="31"/>
  <c r="MG4" i="31"/>
  <c r="MG10" i="31" s="1"/>
  <c r="MF11" i="31"/>
  <c r="KP11" i="31"/>
  <c r="KO4" i="31"/>
  <c r="KO8" i="31" s="1"/>
  <c r="KO10" i="31"/>
  <c r="KO9" i="31"/>
  <c r="CU4" i="31"/>
  <c r="KR11" i="30"/>
  <c r="MG8" i="30"/>
  <c r="MG4" i="30"/>
  <c r="MG10" i="30" s="1"/>
  <c r="MG9" i="30"/>
  <c r="EO4" i="30"/>
  <c r="MF11" i="30"/>
  <c r="KQ9" i="30"/>
  <c r="KQ10" i="30"/>
  <c r="CW4" i="30"/>
  <c r="KQ4" i="30"/>
  <c r="KQ8" i="30" s="1"/>
  <c r="KQ11" i="30" l="1"/>
  <c r="MH4" i="31"/>
  <c r="MH10" i="31" s="1"/>
  <c r="MH9" i="31"/>
  <c r="EP4" i="31"/>
  <c r="MH8" i="31"/>
  <c r="MG11" i="31"/>
  <c r="KN4" i="31"/>
  <c r="KN8" i="31" s="1"/>
  <c r="KN9" i="31"/>
  <c r="CT4" i="31"/>
  <c r="KN10" i="31"/>
  <c r="KO11" i="31"/>
  <c r="KP10" i="30"/>
  <c r="CV4" i="30"/>
  <c r="KP9" i="30"/>
  <c r="KP4" i="30"/>
  <c r="KP8" i="30" s="1"/>
  <c r="MH9" i="30"/>
  <c r="MH8" i="30"/>
  <c r="MH4" i="30"/>
  <c r="MH10" i="30" s="1"/>
  <c r="EP4" i="30"/>
  <c r="MG11" i="30"/>
  <c r="MH11" i="31" l="1"/>
  <c r="EQ4" i="31"/>
  <c r="MI4" i="31"/>
  <c r="MI10" i="31" s="1"/>
  <c r="MI9" i="31"/>
  <c r="MI8" i="31"/>
  <c r="KM10" i="31"/>
  <c r="KM9" i="31"/>
  <c r="CS4" i="31"/>
  <c r="KM4" i="31"/>
  <c r="KM8" i="31" s="1"/>
  <c r="KN11" i="31"/>
  <c r="KP11" i="30"/>
  <c r="KO10" i="30"/>
  <c r="KO9" i="30"/>
  <c r="KO4" i="30"/>
  <c r="KO8" i="30" s="1"/>
  <c r="CU4" i="30"/>
  <c r="MH11" i="30"/>
  <c r="MI9" i="30"/>
  <c r="MI8" i="30"/>
  <c r="EQ4" i="30"/>
  <c r="MI4" i="30"/>
  <c r="MI10" i="30" s="1"/>
  <c r="KM11" i="31" l="1"/>
  <c r="MI11" i="31"/>
  <c r="MJ9" i="31"/>
  <c r="ER4" i="31"/>
  <c r="MJ4" i="31"/>
  <c r="MJ10" i="31" s="1"/>
  <c r="MJ8" i="31"/>
  <c r="KL9" i="31"/>
  <c r="KL4" i="31"/>
  <c r="KL8" i="31" s="1"/>
  <c r="CR4" i="31"/>
  <c r="KL10" i="31"/>
  <c r="KO11" i="30"/>
  <c r="MJ9" i="30"/>
  <c r="MJ4" i="30"/>
  <c r="MJ10" i="30" s="1"/>
  <c r="MJ8" i="30"/>
  <c r="ER4" i="30"/>
  <c r="MI11" i="30"/>
  <c r="KN10" i="30"/>
  <c r="KN9" i="30"/>
  <c r="KN4" i="30"/>
  <c r="KN8" i="30" s="1"/>
  <c r="CT4" i="30"/>
  <c r="KN11" i="30" l="1"/>
  <c r="MJ11" i="31"/>
  <c r="MK8" i="31"/>
  <c r="MK9" i="31"/>
  <c r="MK4" i="31"/>
  <c r="MK10" i="31" s="1"/>
  <c r="ES4" i="31"/>
  <c r="KK10" i="31"/>
  <c r="KK9" i="31"/>
  <c r="CQ4" i="31"/>
  <c r="KK4" i="31"/>
  <c r="KK8" i="31" s="1"/>
  <c r="KL11" i="31"/>
  <c r="KM10" i="30"/>
  <c r="KM9" i="30"/>
  <c r="KM4" i="30"/>
  <c r="KM8" i="30" s="1"/>
  <c r="CS4" i="30"/>
  <c r="MK8" i="30"/>
  <c r="MK9" i="30"/>
  <c r="ES4" i="30"/>
  <c r="MK4" i="30"/>
  <c r="MK10" i="30" s="1"/>
  <c r="MJ11" i="30"/>
  <c r="KK11" i="31" l="1"/>
  <c r="ET4" i="31"/>
  <c r="ML4" i="31"/>
  <c r="ML10" i="31" s="1"/>
  <c r="ML8" i="31"/>
  <c r="ML9" i="31"/>
  <c r="MK11" i="31"/>
  <c r="KJ10" i="31"/>
  <c r="CP4" i="31"/>
  <c r="KJ4" i="31"/>
  <c r="KJ8" i="31" s="1"/>
  <c r="KJ9" i="31"/>
  <c r="KM11" i="30"/>
  <c r="ML8" i="30"/>
  <c r="ML9" i="30"/>
  <c r="ET4" i="30"/>
  <c r="ML4" i="30"/>
  <c r="ML10" i="30" s="1"/>
  <c r="KL9" i="30"/>
  <c r="KL10" i="30"/>
  <c r="CR4" i="30"/>
  <c r="KL4" i="30"/>
  <c r="KL8" i="30" s="1"/>
  <c r="MK11" i="30"/>
  <c r="KJ11" i="31" l="1"/>
  <c r="ML11" i="31"/>
  <c r="EU4" i="31"/>
  <c r="MM8" i="31"/>
  <c r="MM4" i="31"/>
  <c r="MM10" i="31" s="1"/>
  <c r="MM9" i="31"/>
  <c r="KI10" i="31"/>
  <c r="KI9" i="31"/>
  <c r="KI4" i="31"/>
  <c r="KI8" i="31" s="1"/>
  <c r="CO4" i="31"/>
  <c r="KL11" i="30"/>
  <c r="KK9" i="30"/>
  <c r="KK10" i="30"/>
  <c r="KK4" i="30"/>
  <c r="KK8" i="30" s="1"/>
  <c r="CQ4" i="30"/>
  <c r="MM8" i="30"/>
  <c r="MM9" i="30"/>
  <c r="EU4" i="30"/>
  <c r="MM4" i="30"/>
  <c r="MM10" i="30" s="1"/>
  <c r="ML11" i="30"/>
  <c r="KI11" i="31" l="1"/>
  <c r="MM11" i="31"/>
  <c r="EV4" i="31"/>
  <c r="MN9" i="31"/>
  <c r="MN4" i="31"/>
  <c r="MN10" i="31" s="1"/>
  <c r="MN8" i="31"/>
  <c r="KH4" i="31"/>
  <c r="KH8" i="31" s="1"/>
  <c r="KH10" i="31"/>
  <c r="KH9" i="31"/>
  <c r="CN4" i="31"/>
  <c r="KK11" i="30"/>
  <c r="MM11" i="30"/>
  <c r="MN9" i="30"/>
  <c r="MN4" i="30"/>
  <c r="MN10" i="30" s="1"/>
  <c r="MN8" i="30"/>
  <c r="EV4" i="30"/>
  <c r="KJ9" i="30"/>
  <c r="KJ10" i="30"/>
  <c r="KJ4" i="30"/>
  <c r="KJ8" i="30" s="1"/>
  <c r="CP4" i="30"/>
  <c r="KJ11" i="30" l="1"/>
  <c r="MO9" i="31"/>
  <c r="MO4" i="31"/>
  <c r="MO10" i="31" s="1"/>
  <c r="MO8" i="31"/>
  <c r="EW4" i="31"/>
  <c r="MN11" i="31"/>
  <c r="KG10" i="31"/>
  <c r="KG4" i="31"/>
  <c r="KG8" i="31" s="1"/>
  <c r="KG9" i="31"/>
  <c r="CM4" i="31"/>
  <c r="KH11" i="31"/>
  <c r="KI10" i="30"/>
  <c r="KI9" i="30"/>
  <c r="CO4" i="30"/>
  <c r="KI4" i="30"/>
  <c r="KI8" i="30" s="1"/>
  <c r="MN11" i="30"/>
  <c r="MO9" i="30"/>
  <c r="MO8" i="30"/>
  <c r="EW4" i="30"/>
  <c r="MO4" i="30"/>
  <c r="MO10" i="30" s="1"/>
  <c r="KG11" i="31" l="1"/>
  <c r="MO11" i="31"/>
  <c r="EX4" i="31"/>
  <c r="MP4" i="31"/>
  <c r="MP10" i="31" s="1"/>
  <c r="MP9" i="31"/>
  <c r="MP8" i="31"/>
  <c r="KF4" i="31"/>
  <c r="KF8" i="31" s="1"/>
  <c r="CL4" i="31"/>
  <c r="KF10" i="31"/>
  <c r="KF9" i="31"/>
  <c r="KI11" i="30"/>
  <c r="MP8" i="30"/>
  <c r="MP9" i="30"/>
  <c r="MP4" i="30"/>
  <c r="MP10" i="30" s="1"/>
  <c r="EX4" i="30"/>
  <c r="KH10" i="30"/>
  <c r="KH9" i="30"/>
  <c r="CN4" i="30"/>
  <c r="KH4" i="30"/>
  <c r="KH8" i="30" s="1"/>
  <c r="MO11" i="30"/>
  <c r="MP11" i="31" l="1"/>
  <c r="KH11" i="30"/>
  <c r="EY4" i="31"/>
  <c r="MQ9" i="31"/>
  <c r="MQ4" i="31"/>
  <c r="MQ10" i="31" s="1"/>
  <c r="MQ8" i="31"/>
  <c r="KF11" i="31"/>
  <c r="KE4" i="31"/>
  <c r="KE8" i="31" s="1"/>
  <c r="KE9" i="31"/>
  <c r="KE10" i="31"/>
  <c r="CK4" i="31"/>
  <c r="KG9" i="30"/>
  <c r="KG10" i="30"/>
  <c r="CM4" i="30"/>
  <c r="KG4" i="30"/>
  <c r="KG8" i="30" s="1"/>
  <c r="MQ8" i="30"/>
  <c r="MQ9" i="30"/>
  <c r="MQ4" i="30"/>
  <c r="MQ10" i="30" s="1"/>
  <c r="EY4" i="30"/>
  <c r="MP11" i="30"/>
  <c r="MQ11" i="31" l="1"/>
  <c r="MR4" i="31"/>
  <c r="MR10" i="31" s="1"/>
  <c r="MR8" i="31"/>
  <c r="EZ4" i="31"/>
  <c r="MR9" i="31"/>
  <c r="KE11" i="31"/>
  <c r="KD4" i="31"/>
  <c r="KD8" i="31" s="1"/>
  <c r="KD10" i="31"/>
  <c r="CJ4" i="31"/>
  <c r="KD9" i="31"/>
  <c r="KG11" i="30"/>
  <c r="MQ11" i="30"/>
  <c r="MR8" i="30"/>
  <c r="MR9" i="30"/>
  <c r="EZ4" i="30"/>
  <c r="MR4" i="30"/>
  <c r="MR10" i="30" s="1"/>
  <c r="KF9" i="30"/>
  <c r="KF10" i="30"/>
  <c r="CL4" i="30"/>
  <c r="KF4" i="30"/>
  <c r="KF8" i="30" s="1"/>
  <c r="KF11" i="30" l="1"/>
  <c r="MS4" i="31"/>
  <c r="MS10" i="31" s="1"/>
  <c r="MS8" i="31"/>
  <c r="FA4" i="31"/>
  <c r="MS9" i="31"/>
  <c r="MR11" i="31"/>
  <c r="KC9" i="31"/>
  <c r="CI4" i="31"/>
  <c r="KC4" i="31"/>
  <c r="KC8" i="31" s="1"/>
  <c r="KC10" i="31"/>
  <c r="KD11" i="31"/>
  <c r="KE9" i="30"/>
  <c r="KE10" i="30"/>
  <c r="KE4" i="30"/>
  <c r="KE8" i="30" s="1"/>
  <c r="CK4" i="30"/>
  <c r="MS9" i="30"/>
  <c r="MS8" i="30"/>
  <c r="FA4" i="30"/>
  <c r="MS4" i="30"/>
  <c r="MS10" i="30" s="1"/>
  <c r="MR11" i="30"/>
  <c r="KC11" i="31" l="1"/>
  <c r="KE11" i="30"/>
  <c r="FB4" i="31"/>
  <c r="MT4" i="31"/>
  <c r="MT10" i="31" s="1"/>
  <c r="MT9" i="31"/>
  <c r="MT8" i="31"/>
  <c r="MS11" i="31"/>
  <c r="CH4" i="31"/>
  <c r="KB4" i="31"/>
  <c r="KB8" i="31" s="1"/>
  <c r="KB10" i="31"/>
  <c r="KB9" i="31"/>
  <c r="MS11" i="30"/>
  <c r="MT9" i="30"/>
  <c r="MT8" i="30"/>
  <c r="MT4" i="30"/>
  <c r="MT10" i="30" s="1"/>
  <c r="FB4" i="30"/>
  <c r="KD10" i="30"/>
  <c r="KD4" i="30"/>
  <c r="KD8" i="30" s="1"/>
  <c r="KD9" i="30"/>
  <c r="CJ4" i="30"/>
  <c r="MT11" i="31" l="1"/>
  <c r="FC4" i="31"/>
  <c r="MU4" i="31"/>
  <c r="MU10" i="31" s="1"/>
  <c r="MU8" i="31"/>
  <c r="MU9" i="31"/>
  <c r="KB11" i="31"/>
  <c r="KA9" i="31"/>
  <c r="KA4" i="31"/>
  <c r="KA8" i="31" s="1"/>
  <c r="CG4" i="31"/>
  <c r="KA10" i="31"/>
  <c r="KD11" i="30"/>
  <c r="MT11" i="30"/>
  <c r="KC10" i="30"/>
  <c r="KC9" i="30"/>
  <c r="CI4" i="30"/>
  <c r="KC4" i="30"/>
  <c r="KC8" i="30" s="1"/>
  <c r="MU9" i="30"/>
  <c r="MU4" i="30"/>
  <c r="MU10" i="30" s="1"/>
  <c r="MU8" i="30"/>
  <c r="FC4" i="30"/>
  <c r="KC11" i="30" l="1"/>
  <c r="KA11" i="31"/>
  <c r="MU11" i="31"/>
  <c r="MV9" i="31"/>
  <c r="FD4" i="31"/>
  <c r="MV8" i="31"/>
  <c r="MV4" i="31"/>
  <c r="MV10" i="31" s="1"/>
  <c r="CF4" i="31"/>
  <c r="JZ4" i="31"/>
  <c r="JZ8" i="31" s="1"/>
  <c r="JZ9" i="31"/>
  <c r="JZ10" i="31"/>
  <c r="MU11" i="30"/>
  <c r="MV9" i="30"/>
  <c r="FD4" i="30"/>
  <c r="MV8" i="30"/>
  <c r="MV4" i="30"/>
  <c r="MV10" i="30" s="1"/>
  <c r="KB10" i="30"/>
  <c r="KB9" i="30"/>
  <c r="KB4" i="30"/>
  <c r="KB8" i="30" s="1"/>
  <c r="CH4" i="30"/>
  <c r="KB11" i="30" l="1"/>
  <c r="MV11" i="31"/>
  <c r="MW4" i="31"/>
  <c r="MW10" i="31" s="1"/>
  <c r="FE4" i="31"/>
  <c r="MW9" i="31"/>
  <c r="MW8" i="31"/>
  <c r="JZ11" i="31"/>
  <c r="JY4" i="31"/>
  <c r="JY8" i="31" s="1"/>
  <c r="JY9" i="31"/>
  <c r="CE4" i="31"/>
  <c r="JY10" i="31"/>
  <c r="MW8" i="30"/>
  <c r="MW9" i="30"/>
  <c r="MW4" i="30"/>
  <c r="MW10" i="30" s="1"/>
  <c r="FE4" i="30"/>
  <c r="KA10" i="30"/>
  <c r="KA9" i="30"/>
  <c r="KA4" i="30"/>
  <c r="KA8" i="30" s="1"/>
  <c r="CG4" i="30"/>
  <c r="MV11" i="30"/>
  <c r="KA11" i="30" l="1"/>
  <c r="MX9" i="31"/>
  <c r="MX4" i="31"/>
  <c r="MX10" i="31" s="1"/>
  <c r="FF4" i="31"/>
  <c r="MX8" i="31"/>
  <c r="MW11" i="31"/>
  <c r="JX4" i="31"/>
  <c r="JX8" i="31" s="1"/>
  <c r="CD4" i="31"/>
  <c r="JX10" i="31"/>
  <c r="JX9" i="31"/>
  <c r="JY11" i="31"/>
  <c r="JZ9" i="30"/>
  <c r="JZ10" i="30"/>
  <c r="CF4" i="30"/>
  <c r="JZ4" i="30"/>
  <c r="JZ8" i="30" s="1"/>
  <c r="MX8" i="30"/>
  <c r="MX9" i="30"/>
  <c r="FF4" i="30"/>
  <c r="MX4" i="30"/>
  <c r="MX10" i="30" s="1"/>
  <c r="MW11" i="30"/>
  <c r="MX11" i="31" l="1"/>
  <c r="MY4" i="31"/>
  <c r="MY10" i="31" s="1"/>
  <c r="MY9" i="31"/>
  <c r="FG4" i="31"/>
  <c r="MY8" i="31"/>
  <c r="JW9" i="31"/>
  <c r="JW4" i="31"/>
  <c r="JW8" i="31" s="1"/>
  <c r="JW10" i="31"/>
  <c r="CC4" i="31"/>
  <c r="JX11" i="31"/>
  <c r="JZ11" i="30"/>
  <c r="MY8" i="30"/>
  <c r="MY9" i="30"/>
  <c r="FG4" i="30"/>
  <c r="MY4" i="30"/>
  <c r="MY10" i="30" s="1"/>
  <c r="MX11" i="30"/>
  <c r="JY10" i="30"/>
  <c r="JY9" i="30"/>
  <c r="CE4" i="30"/>
  <c r="JY4" i="30"/>
  <c r="JY8" i="30" s="1"/>
  <c r="JW11" i="31" l="1"/>
  <c r="MY11" i="31"/>
  <c r="JY11" i="30"/>
  <c r="MZ9" i="31"/>
  <c r="FH4" i="31"/>
  <c r="MZ4" i="31"/>
  <c r="MZ10" i="31" s="1"/>
  <c r="MZ8" i="31"/>
  <c r="CB4" i="31"/>
  <c r="JV4" i="31"/>
  <c r="JV8" i="31" s="1"/>
  <c r="JV10" i="31"/>
  <c r="JV9" i="31"/>
  <c r="MZ9" i="30"/>
  <c r="FH4" i="30"/>
  <c r="MZ8" i="30"/>
  <c r="MZ4" i="30"/>
  <c r="MZ10" i="30" s="1"/>
  <c r="JX9" i="30"/>
  <c r="JX10" i="30"/>
  <c r="CD4" i="30"/>
  <c r="JX4" i="30"/>
  <c r="JX8" i="30" s="1"/>
  <c r="MY11" i="30"/>
  <c r="JX11" i="30" l="1"/>
  <c r="MZ11" i="31"/>
  <c r="FI4" i="31"/>
  <c r="NA9" i="31"/>
  <c r="NA8" i="31"/>
  <c r="NA4" i="31"/>
  <c r="NA10" i="31" s="1"/>
  <c r="JV11" i="31"/>
  <c r="JU9" i="31"/>
  <c r="CA4" i="31"/>
  <c r="JU4" i="31"/>
  <c r="JU8" i="31" s="1"/>
  <c r="JU10" i="31"/>
  <c r="JW10" i="30"/>
  <c r="JW4" i="30"/>
  <c r="JW8" i="30" s="1"/>
  <c r="JW9" i="30"/>
  <c r="CC4" i="30"/>
  <c r="NA9" i="30"/>
  <c r="NA8" i="30"/>
  <c r="FI4" i="30"/>
  <c r="NA4" i="30"/>
  <c r="NA10" i="30" s="1"/>
  <c r="MZ11" i="30"/>
  <c r="JU11" i="31" l="1"/>
  <c r="JW11" i="30"/>
  <c r="NA11" i="31"/>
  <c r="NB9" i="31"/>
  <c r="FJ4" i="31"/>
  <c r="NB8" i="31"/>
  <c r="NB4" i="31"/>
  <c r="NB10" i="31" s="1"/>
  <c r="BZ4" i="31"/>
  <c r="JT4" i="31"/>
  <c r="JT8" i="31" s="1"/>
  <c r="JT9" i="31"/>
  <c r="JT10" i="31"/>
  <c r="NB8" i="30"/>
  <c r="NB9" i="30"/>
  <c r="NB4" i="30"/>
  <c r="NB10" i="30" s="1"/>
  <c r="FJ4" i="30"/>
  <c r="NA11" i="30"/>
  <c r="JV10" i="30"/>
  <c r="CB4" i="30"/>
  <c r="JV9" i="30"/>
  <c r="JV4" i="30"/>
  <c r="JV8" i="30" s="1"/>
  <c r="JT11" i="31" l="1"/>
  <c r="JV11" i="30"/>
  <c r="NB11" i="31"/>
  <c r="NC9" i="31"/>
  <c r="FK4" i="31"/>
  <c r="NC4" i="31"/>
  <c r="NC10" i="31" s="1"/>
  <c r="NC8" i="31"/>
  <c r="BY4" i="31"/>
  <c r="JS10" i="31"/>
  <c r="JS4" i="31"/>
  <c r="JS8" i="31" s="1"/>
  <c r="JS9" i="31"/>
  <c r="JU9" i="30"/>
  <c r="JU10" i="30"/>
  <c r="JU4" i="30"/>
  <c r="JU8" i="30" s="1"/>
  <c r="CA4" i="30"/>
  <c r="NC8" i="30"/>
  <c r="NC9" i="30"/>
  <c r="NC4" i="30"/>
  <c r="NC10" i="30" s="1"/>
  <c r="FK4" i="30"/>
  <c r="NB11" i="30"/>
  <c r="JU11" i="30" l="1"/>
  <c r="NC11" i="31"/>
  <c r="ND4" i="31"/>
  <c r="ND10" i="31" s="1"/>
  <c r="FL4" i="31"/>
  <c r="ND8" i="31"/>
  <c r="ND9" i="31"/>
  <c r="JS11" i="31"/>
  <c r="BX4" i="31"/>
  <c r="JR10" i="31"/>
  <c r="JR4" i="31"/>
  <c r="JR8" i="31" s="1"/>
  <c r="JR9" i="31"/>
  <c r="ND8" i="30"/>
  <c r="ND9" i="30"/>
  <c r="FL4" i="30"/>
  <c r="ND4" i="30"/>
  <c r="ND10" i="30" s="1"/>
  <c r="NC11" i="30"/>
  <c r="JT9" i="30"/>
  <c r="JT10" i="30"/>
  <c r="BZ4" i="30"/>
  <c r="JT4" i="30"/>
  <c r="JT8" i="30" s="1"/>
  <c r="JT11" i="30" s="1"/>
  <c r="ND11" i="31" l="1"/>
  <c r="NE9" i="31"/>
  <c r="NE8" i="31"/>
  <c r="NE4" i="31"/>
  <c r="NE10" i="31" s="1"/>
  <c r="FM4" i="31"/>
  <c r="JR11" i="31"/>
  <c r="JQ4" i="31"/>
  <c r="JQ8" i="31" s="1"/>
  <c r="JQ10" i="31"/>
  <c r="JQ9" i="31"/>
  <c r="BW4" i="31"/>
  <c r="JS9" i="30"/>
  <c r="JS10" i="30"/>
  <c r="JS4" i="30"/>
  <c r="JS8" i="30" s="1"/>
  <c r="BY4" i="30"/>
  <c r="NE9" i="30"/>
  <c r="NE8" i="30"/>
  <c r="NE4" i="30"/>
  <c r="NE10" i="30" s="1"/>
  <c r="FM4" i="30"/>
  <c r="ND11" i="30"/>
  <c r="NE11" i="31" l="1"/>
  <c r="NF4" i="31"/>
  <c r="NF10" i="31" s="1"/>
  <c r="NF8" i="31"/>
  <c r="NF9" i="31"/>
  <c r="FN4" i="31"/>
  <c r="JQ11" i="31"/>
  <c r="JP9" i="31"/>
  <c r="JP4" i="31"/>
  <c r="JP8" i="31" s="1"/>
  <c r="JP10" i="31"/>
  <c r="BV4" i="31"/>
  <c r="JS11" i="30"/>
  <c r="NF9" i="30"/>
  <c r="NF8" i="30"/>
  <c r="NF4" i="30"/>
  <c r="NF10" i="30" s="1"/>
  <c r="FN4" i="30"/>
  <c r="NE11" i="30"/>
  <c r="JR10" i="30"/>
  <c r="BX4" i="30"/>
  <c r="JR9" i="30"/>
  <c r="JR4" i="30"/>
  <c r="JR8" i="30" s="1"/>
  <c r="JR11" i="30" l="1"/>
  <c r="NG9" i="31"/>
  <c r="FO4" i="31"/>
  <c r="NG4" i="31"/>
  <c r="NG10" i="31" s="1"/>
  <c r="NG8" i="31"/>
  <c r="NF11" i="31"/>
  <c r="JP11" i="31"/>
  <c r="JO10" i="31"/>
  <c r="BU4" i="31"/>
  <c r="JO9" i="31"/>
  <c r="JO4" i="31"/>
  <c r="JO8" i="31" s="1"/>
  <c r="NF11" i="30"/>
  <c r="NG9" i="30"/>
  <c r="NG8" i="30"/>
  <c r="FO4" i="30"/>
  <c r="NG4" i="30"/>
  <c r="NG10" i="30" s="1"/>
  <c r="JQ10" i="30"/>
  <c r="JQ9" i="30"/>
  <c r="JQ4" i="30"/>
  <c r="JQ8" i="30" s="1"/>
  <c r="BW4" i="30"/>
  <c r="JO11" i="31" l="1"/>
  <c r="JQ11" i="30"/>
  <c r="NG11" i="31"/>
  <c r="FP4" i="31"/>
  <c r="NH4" i="31"/>
  <c r="NH10" i="31" s="1"/>
  <c r="NH9" i="31"/>
  <c r="NH8" i="31"/>
  <c r="JN9" i="31"/>
  <c r="JN4" i="31"/>
  <c r="JN8" i="31" s="1"/>
  <c r="BT4" i="31"/>
  <c r="JN10" i="31"/>
  <c r="JP10" i="30"/>
  <c r="JP9" i="30"/>
  <c r="JP4" i="30"/>
  <c r="JP8" i="30" s="1"/>
  <c r="BV4" i="30"/>
  <c r="NG11" i="30"/>
  <c r="NH9" i="30"/>
  <c r="FP4" i="30"/>
  <c r="NH8" i="30"/>
  <c r="NH4" i="30"/>
  <c r="NH10" i="30" s="1"/>
  <c r="NH11" i="31" l="1"/>
  <c r="NI8" i="31"/>
  <c r="FQ4" i="31"/>
  <c r="NI4" i="31"/>
  <c r="NI10" i="31" s="1"/>
  <c r="NI9" i="31"/>
  <c r="JM9" i="31"/>
  <c r="JM4" i="31"/>
  <c r="JM8" i="31" s="1"/>
  <c r="BS4" i="31"/>
  <c r="JM10" i="31"/>
  <c r="JN11" i="31"/>
  <c r="JP11" i="30"/>
  <c r="NH11" i="30"/>
  <c r="JO10" i="30"/>
  <c r="JO9" i="30"/>
  <c r="JO4" i="30"/>
  <c r="JO8" i="30" s="1"/>
  <c r="BU4" i="30"/>
  <c r="NI8" i="30"/>
  <c r="NI9" i="30"/>
  <c r="FQ4" i="30"/>
  <c r="NI4" i="30"/>
  <c r="NI10" i="30" s="1"/>
  <c r="NJ4" i="31" l="1"/>
  <c r="NJ10" i="31" s="1"/>
  <c r="NJ9" i="31"/>
  <c r="FR4" i="31"/>
  <c r="NJ8" i="31"/>
  <c r="NJ11" i="31" s="1"/>
  <c r="NI11" i="31"/>
  <c r="JL9" i="31"/>
  <c r="BR4" i="31"/>
  <c r="JL10" i="31"/>
  <c r="JL4" i="31"/>
  <c r="JL8" i="31" s="1"/>
  <c r="JM11" i="31"/>
  <c r="JO11" i="30"/>
  <c r="NJ8" i="30"/>
  <c r="NJ9" i="30"/>
  <c r="FR4" i="30"/>
  <c r="NJ4" i="30"/>
  <c r="NJ10" i="30" s="1"/>
  <c r="NI11" i="30"/>
  <c r="JN9" i="30"/>
  <c r="JN10" i="30"/>
  <c r="BT4" i="30"/>
  <c r="JN4" i="30"/>
  <c r="JN8" i="30" s="1"/>
  <c r="JN11" i="30" s="1"/>
  <c r="JL11" i="31" l="1"/>
  <c r="NK8" i="31"/>
  <c r="FS4" i="31"/>
  <c r="NK9" i="31"/>
  <c r="NK4" i="31"/>
  <c r="NK10" i="31" s="1"/>
  <c r="JK4" i="31"/>
  <c r="JK8" i="31" s="1"/>
  <c r="JK9" i="31"/>
  <c r="JK10" i="31"/>
  <c r="BQ4" i="31"/>
  <c r="JM10" i="30"/>
  <c r="JM9" i="30"/>
  <c r="JM4" i="30"/>
  <c r="JM8" i="30" s="1"/>
  <c r="BS4" i="30"/>
  <c r="NK8" i="30"/>
  <c r="NK9" i="30"/>
  <c r="NK4" i="30"/>
  <c r="NK10" i="30" s="1"/>
  <c r="FS4" i="30"/>
  <c r="NJ11" i="30"/>
  <c r="JM11" i="30" l="1"/>
  <c r="FT4" i="31"/>
  <c r="NL4" i="31"/>
  <c r="NL10" i="31" s="1"/>
  <c r="NL8" i="31"/>
  <c r="NL9" i="31"/>
  <c r="NK11" i="31"/>
  <c r="JJ4" i="31"/>
  <c r="JJ8" i="31" s="1"/>
  <c r="JJ9" i="31"/>
  <c r="JJ10" i="31"/>
  <c r="BP4" i="31"/>
  <c r="JK11" i="31"/>
  <c r="NL9" i="30"/>
  <c r="NL8" i="30"/>
  <c r="FT4" i="30"/>
  <c r="NL4" i="30"/>
  <c r="NL10" i="30" s="1"/>
  <c r="NK11" i="30"/>
  <c r="JL9" i="30"/>
  <c r="JL10" i="30"/>
  <c r="BR4" i="30"/>
  <c r="JL4" i="30"/>
  <c r="JL8" i="30" s="1"/>
  <c r="NL11" i="31" l="1"/>
  <c r="NM8" i="31"/>
  <c r="FU4" i="31"/>
  <c r="NM9" i="31"/>
  <c r="NM4" i="31"/>
  <c r="NM10" i="31" s="1"/>
  <c r="JI9" i="31"/>
  <c r="JI4" i="31"/>
  <c r="JI8" i="31" s="1"/>
  <c r="BO4" i="31"/>
  <c r="JI10" i="31"/>
  <c r="JJ11" i="31"/>
  <c r="JL11" i="30"/>
  <c r="JK10" i="30"/>
  <c r="BQ4" i="30"/>
  <c r="JK9" i="30"/>
  <c r="JK4" i="30"/>
  <c r="JK8" i="30" s="1"/>
  <c r="NL11" i="30"/>
  <c r="NM9" i="30"/>
  <c r="NM8" i="30"/>
  <c r="FU4" i="30"/>
  <c r="NM4" i="30"/>
  <c r="NM10" i="30" s="1"/>
  <c r="NN9" i="31" l="1"/>
  <c r="NN8" i="31"/>
  <c r="FV4" i="31"/>
  <c r="NN4" i="31"/>
  <c r="NN10" i="31" s="1"/>
  <c r="NM11" i="31"/>
  <c r="JH10" i="31"/>
  <c r="JH4" i="31"/>
  <c r="JH8" i="31" s="1"/>
  <c r="BN4" i="31"/>
  <c r="JH9" i="31"/>
  <c r="JI11" i="31"/>
  <c r="JK11" i="30"/>
  <c r="NN8" i="30"/>
  <c r="NN9" i="30"/>
  <c r="FV4" i="30"/>
  <c r="NN4" i="30"/>
  <c r="NN10" i="30" s="1"/>
  <c r="JJ10" i="30"/>
  <c r="JJ9" i="30"/>
  <c r="JJ4" i="30"/>
  <c r="JJ8" i="30" s="1"/>
  <c r="BP4" i="30"/>
  <c r="NM11" i="30"/>
  <c r="JJ11" i="30" l="1"/>
  <c r="FW4" i="31"/>
  <c r="NO4" i="31"/>
  <c r="NO10" i="31" s="1"/>
  <c r="NO8" i="31"/>
  <c r="NO9" i="31"/>
  <c r="NN11" i="31"/>
  <c r="JG4" i="31"/>
  <c r="JG8" i="31" s="1"/>
  <c r="BM4" i="31"/>
  <c r="JG9" i="31"/>
  <c r="JG10" i="31"/>
  <c r="JH11" i="31"/>
  <c r="JI9" i="30"/>
  <c r="JI10" i="30"/>
  <c r="JI4" i="30"/>
  <c r="JI8" i="30" s="1"/>
  <c r="BO4" i="30"/>
  <c r="NO8" i="30"/>
  <c r="NO4" i="30"/>
  <c r="NO10" i="30" s="1"/>
  <c r="NO9" i="30"/>
  <c r="FW4" i="30"/>
  <c r="NN11" i="30"/>
  <c r="NO11" i="31" l="1"/>
  <c r="NP9" i="31"/>
  <c r="FX4" i="31"/>
  <c r="NP8" i="31"/>
  <c r="NP4" i="31"/>
  <c r="NP10" i="31" s="1"/>
  <c r="JF10" i="31"/>
  <c r="JF9" i="31"/>
  <c r="BL4" i="31"/>
  <c r="JF4" i="31"/>
  <c r="JF8" i="31" s="1"/>
  <c r="JG11" i="31"/>
  <c r="JI11" i="30"/>
  <c r="NO11" i="30"/>
  <c r="JH9" i="30"/>
  <c r="JH10" i="30"/>
  <c r="BN4" i="30"/>
  <c r="JH4" i="30"/>
  <c r="JH8" i="30" s="1"/>
  <c r="NP8" i="30"/>
  <c r="NP9" i="30"/>
  <c r="FX4" i="30"/>
  <c r="NP4" i="30"/>
  <c r="NP10" i="30" s="1"/>
  <c r="JH11" i="30" l="1"/>
  <c r="NP11" i="31"/>
  <c r="JF11" i="31"/>
  <c r="NQ9" i="31"/>
  <c r="FY4" i="31"/>
  <c r="NQ4" i="31"/>
  <c r="NQ10" i="31" s="1"/>
  <c r="NQ8" i="31"/>
  <c r="JE9" i="31"/>
  <c r="BK4" i="31"/>
  <c r="JE4" i="31"/>
  <c r="JE8" i="31" s="1"/>
  <c r="JE10" i="31"/>
  <c r="NQ9" i="30"/>
  <c r="NQ8" i="30"/>
  <c r="FY4" i="30"/>
  <c r="NQ4" i="30"/>
  <c r="NQ10" i="30" s="1"/>
  <c r="NP11" i="30"/>
  <c r="JG9" i="30"/>
  <c r="JG10" i="30"/>
  <c r="JG4" i="30"/>
  <c r="JG8" i="30" s="1"/>
  <c r="BM4" i="30"/>
  <c r="JG11" i="30" l="1"/>
  <c r="NR9" i="31"/>
  <c r="NR4" i="31"/>
  <c r="NR10" i="31" s="1"/>
  <c r="FZ4" i="31"/>
  <c r="NR8" i="31"/>
  <c r="NQ11" i="31"/>
  <c r="JE11" i="31"/>
  <c r="JD9" i="31"/>
  <c r="JD4" i="31"/>
  <c r="JD8" i="31" s="1"/>
  <c r="BJ4" i="31"/>
  <c r="JD10" i="31"/>
  <c r="JF10" i="30"/>
  <c r="JF9" i="30"/>
  <c r="JF4" i="30"/>
  <c r="JF8" i="30" s="1"/>
  <c r="BL4" i="30"/>
  <c r="NR9" i="30"/>
  <c r="NR8" i="30"/>
  <c r="FZ4" i="30"/>
  <c r="NR4" i="30"/>
  <c r="NR10" i="30" s="1"/>
  <c r="NQ11" i="30"/>
  <c r="NR11" i="31" l="1"/>
  <c r="JD11" i="31"/>
  <c r="JF11" i="30"/>
  <c r="NS9" i="31"/>
  <c r="NS8" i="31"/>
  <c r="NS4" i="31"/>
  <c r="NS10" i="31" s="1"/>
  <c r="GA4" i="31"/>
  <c r="JC9" i="31"/>
  <c r="JC4" i="31"/>
  <c r="JC8" i="31" s="1"/>
  <c r="BI4" i="31"/>
  <c r="JC10" i="31"/>
  <c r="NS9" i="30"/>
  <c r="NS8" i="30"/>
  <c r="GA4" i="30"/>
  <c r="NS4" i="30"/>
  <c r="NS10" i="30" s="1"/>
  <c r="NR11" i="30"/>
  <c r="JE10" i="30"/>
  <c r="JE9" i="30"/>
  <c r="JE4" i="30"/>
  <c r="JE8" i="30" s="1"/>
  <c r="BK4" i="30"/>
  <c r="JE11" i="30" l="1"/>
  <c r="NT9" i="31"/>
  <c r="NT4" i="31"/>
  <c r="NT10" i="31" s="1"/>
  <c r="NT8" i="31"/>
  <c r="GB4" i="31"/>
  <c r="NS11" i="31"/>
  <c r="BH4" i="31"/>
  <c r="JB9" i="31"/>
  <c r="JB10" i="31"/>
  <c r="JB4" i="31"/>
  <c r="JB8" i="31" s="1"/>
  <c r="JC11" i="31"/>
  <c r="JD10" i="30"/>
  <c r="JD9" i="30"/>
  <c r="BJ4" i="30"/>
  <c r="JD4" i="30"/>
  <c r="JD8" i="30" s="1"/>
  <c r="NS11" i="30"/>
  <c r="NT9" i="30"/>
  <c r="NT8" i="30"/>
  <c r="GB4" i="30"/>
  <c r="NT4" i="30"/>
  <c r="NT10" i="30" s="1"/>
  <c r="JB11" i="31" l="1"/>
  <c r="NT11" i="31"/>
  <c r="NU4" i="31"/>
  <c r="NU10" i="31" s="1"/>
  <c r="GC4" i="31"/>
  <c r="NU9" i="31"/>
  <c r="NU8" i="31"/>
  <c r="BG4" i="31"/>
  <c r="JA4" i="31"/>
  <c r="JA8" i="31" s="1"/>
  <c r="JA9" i="31"/>
  <c r="JA10" i="31"/>
  <c r="JD11" i="30"/>
  <c r="NU8" i="30"/>
  <c r="NU9" i="30"/>
  <c r="GC4" i="30"/>
  <c r="NU4" i="30"/>
  <c r="NU10" i="30" s="1"/>
  <c r="JC10" i="30"/>
  <c r="JC9" i="30"/>
  <c r="JC4" i="30"/>
  <c r="JC8" i="30" s="1"/>
  <c r="BI4" i="30"/>
  <c r="NT11" i="30"/>
  <c r="NU11" i="31" l="1"/>
  <c r="JC11" i="30"/>
  <c r="GD4" i="31"/>
  <c r="NV4" i="31"/>
  <c r="NV10" i="31" s="1"/>
  <c r="NV9" i="31"/>
  <c r="NV8" i="31"/>
  <c r="JA11" i="31"/>
  <c r="IZ4" i="31"/>
  <c r="IZ8" i="31" s="1"/>
  <c r="BF4" i="31"/>
  <c r="IZ10" i="31"/>
  <c r="IZ9" i="31"/>
  <c r="JB9" i="30"/>
  <c r="JB10" i="30"/>
  <c r="BH4" i="30"/>
  <c r="JB4" i="30"/>
  <c r="JB8" i="30" s="1"/>
  <c r="NV8" i="30"/>
  <c r="NV9" i="30"/>
  <c r="GD4" i="30"/>
  <c r="NV4" i="30"/>
  <c r="NV10" i="30" s="1"/>
  <c r="NU11" i="30"/>
  <c r="NV11" i="31" l="1"/>
  <c r="GE4" i="31"/>
  <c r="NW4" i="31"/>
  <c r="NW10" i="31" s="1"/>
  <c r="NW9" i="31"/>
  <c r="NW8" i="31"/>
  <c r="IY9" i="31"/>
  <c r="IY10" i="31"/>
  <c r="IY4" i="31"/>
  <c r="IY8" i="31" s="1"/>
  <c r="BE4" i="31"/>
  <c r="IZ11" i="31"/>
  <c r="JB11" i="30"/>
  <c r="JA9" i="30"/>
  <c r="JA10" i="30"/>
  <c r="BG4" i="30"/>
  <c r="JA4" i="30"/>
  <c r="JA8" i="30" s="1"/>
  <c r="NW8" i="30"/>
  <c r="NW9" i="30"/>
  <c r="NW4" i="30"/>
  <c r="NW10" i="30" s="1"/>
  <c r="GE4" i="30"/>
  <c r="NV11" i="30"/>
  <c r="IY11" i="31" l="1"/>
  <c r="NW11" i="31"/>
  <c r="NX4" i="31"/>
  <c r="NX10" i="31" s="1"/>
  <c r="GF4" i="31"/>
  <c r="NX9" i="31"/>
  <c r="NX8" i="31"/>
  <c r="BD4" i="31"/>
  <c r="IX10" i="31"/>
  <c r="IX4" i="31"/>
  <c r="IX8" i="31" s="1"/>
  <c r="IX9" i="31"/>
  <c r="JA11" i="30"/>
  <c r="NX9" i="30"/>
  <c r="GF4" i="30"/>
  <c r="NX8" i="30"/>
  <c r="NX4" i="30"/>
  <c r="NX10" i="30" s="1"/>
  <c r="NW11" i="30"/>
  <c r="IZ9" i="30"/>
  <c r="IZ10" i="30"/>
  <c r="BF4" i="30"/>
  <c r="IZ4" i="30"/>
  <c r="IZ8" i="30" s="1"/>
  <c r="IX11" i="31" l="1"/>
  <c r="NX11" i="31"/>
  <c r="NY4" i="31"/>
  <c r="NY10" i="31" s="1"/>
  <c r="NY8" i="31"/>
  <c r="GG4" i="31"/>
  <c r="NY9" i="31"/>
  <c r="IW4" i="31"/>
  <c r="IW8" i="31" s="1"/>
  <c r="IW9" i="31"/>
  <c r="IW10" i="31"/>
  <c r="BC4" i="31"/>
  <c r="IZ11" i="30"/>
  <c r="IY10" i="30"/>
  <c r="IY9" i="30"/>
  <c r="BE4" i="30"/>
  <c r="IY4" i="30"/>
  <c r="IY8" i="30" s="1"/>
  <c r="NY9" i="30"/>
  <c r="GG4" i="30"/>
  <c r="NY8" i="30"/>
  <c r="NY4" i="30"/>
  <c r="NY10" i="30" s="1"/>
  <c r="NX11" i="30"/>
  <c r="NY11" i="31" l="1"/>
  <c r="GH4" i="31"/>
  <c r="NZ4" i="31"/>
  <c r="NZ10" i="31" s="1"/>
  <c r="NZ8" i="31"/>
  <c r="NZ9" i="31"/>
  <c r="IV9" i="31"/>
  <c r="IV4" i="31"/>
  <c r="IV8" i="31" s="1"/>
  <c r="IV10" i="31"/>
  <c r="BB4" i="31"/>
  <c r="IW11" i="31"/>
  <c r="IY11" i="30"/>
  <c r="NY11" i="30"/>
  <c r="NZ8" i="30"/>
  <c r="NZ9" i="30"/>
  <c r="NZ4" i="30"/>
  <c r="NZ10" i="30" s="1"/>
  <c r="GH4" i="30"/>
  <c r="IX10" i="30"/>
  <c r="IX9" i="30"/>
  <c r="BD4" i="30"/>
  <c r="IX4" i="30"/>
  <c r="IX8" i="30" s="1"/>
  <c r="IX11" i="30" s="1"/>
  <c r="IV11" i="31" l="1"/>
  <c r="NZ11" i="31"/>
  <c r="OA4" i="31"/>
  <c r="OA10" i="31" s="1"/>
  <c r="OA9" i="31"/>
  <c r="GI4" i="31"/>
  <c r="OA8" i="31"/>
  <c r="BA4" i="31"/>
  <c r="IU4" i="31"/>
  <c r="IU8" i="31" s="1"/>
  <c r="IU10" i="31"/>
  <c r="IU9" i="31"/>
  <c r="OA9" i="30"/>
  <c r="OA8" i="30"/>
  <c r="OA4" i="30"/>
  <c r="OA10" i="30" s="1"/>
  <c r="GI4" i="30"/>
  <c r="IW9" i="30"/>
  <c r="IW10" i="30"/>
  <c r="IW4" i="30"/>
  <c r="IW8" i="30" s="1"/>
  <c r="BC4" i="30"/>
  <c r="NZ11" i="30"/>
  <c r="IW11" i="30" l="1"/>
  <c r="OA11" i="31"/>
  <c r="GJ4" i="31"/>
  <c r="OB4" i="31"/>
  <c r="OB10" i="31" s="1"/>
  <c r="OB8" i="31"/>
  <c r="OB9" i="31"/>
  <c r="IU11" i="31"/>
  <c r="IT10" i="31"/>
  <c r="IT4" i="31"/>
  <c r="IT8" i="31" s="1"/>
  <c r="AZ4" i="31"/>
  <c r="IT9" i="31"/>
  <c r="IV9" i="30"/>
  <c r="IV10" i="30"/>
  <c r="IV4" i="30"/>
  <c r="IV8" i="30" s="1"/>
  <c r="BB4" i="30"/>
  <c r="OB8" i="30"/>
  <c r="OB9" i="30"/>
  <c r="GJ4" i="30"/>
  <c r="OB4" i="30"/>
  <c r="OB10" i="30" s="1"/>
  <c r="OA11" i="30"/>
  <c r="OB11" i="31" l="1"/>
  <c r="OC8" i="31"/>
  <c r="OC4" i="31"/>
  <c r="OC10" i="31" s="1"/>
  <c r="OC9" i="31"/>
  <c r="GK4" i="31"/>
  <c r="IS9" i="31"/>
  <c r="AY4" i="31"/>
  <c r="IS4" i="31"/>
  <c r="IS8" i="31" s="1"/>
  <c r="IS10" i="31"/>
  <c r="IT11" i="31"/>
  <c r="IV11" i="30"/>
  <c r="OC9" i="30"/>
  <c r="OC8" i="30"/>
  <c r="OC4" i="30"/>
  <c r="OC10" i="30" s="1"/>
  <c r="GK4" i="30"/>
  <c r="OB11" i="30"/>
  <c r="IU9" i="30"/>
  <c r="IU10" i="30"/>
  <c r="BA4" i="30"/>
  <c r="IU4" i="30"/>
  <c r="IU8" i="30" s="1"/>
  <c r="IU11" i="30" s="1"/>
  <c r="IS11" i="31" l="1"/>
  <c r="OD4" i="31"/>
  <c r="OD10" i="31" s="1"/>
  <c r="OD9" i="31"/>
  <c r="GL4" i="31"/>
  <c r="OD8" i="31"/>
  <c r="OC11" i="31"/>
  <c r="AX4" i="31"/>
  <c r="IR4" i="31"/>
  <c r="IR8" i="31" s="1"/>
  <c r="IR10" i="31"/>
  <c r="IR9" i="31"/>
  <c r="IT10" i="30"/>
  <c r="IT9" i="30"/>
  <c r="AZ4" i="30"/>
  <c r="IT4" i="30"/>
  <c r="IT8" i="30" s="1"/>
  <c r="OC11" i="30"/>
  <c r="OD9" i="30"/>
  <c r="OD8" i="30"/>
  <c r="GL4" i="30"/>
  <c r="OD4" i="30"/>
  <c r="OD10" i="30" s="1"/>
  <c r="OD11" i="31" l="1"/>
  <c r="OE4" i="31"/>
  <c r="OE10" i="31" s="1"/>
  <c r="OE9" i="31"/>
  <c r="GM4" i="31"/>
  <c r="OE8" i="31"/>
  <c r="IR11" i="31"/>
  <c r="IQ4" i="31"/>
  <c r="IQ8" i="31" s="1"/>
  <c r="IQ9" i="31"/>
  <c r="IQ10" i="31"/>
  <c r="AW4" i="31"/>
  <c r="IT11" i="30"/>
  <c r="OE9" i="30"/>
  <c r="OE8" i="30"/>
  <c r="OE4" i="30"/>
  <c r="OE10" i="30" s="1"/>
  <c r="GM4" i="30"/>
  <c r="OD11" i="30"/>
  <c r="IS10" i="30"/>
  <c r="IS9" i="30"/>
  <c r="AY4" i="30"/>
  <c r="IS4" i="30"/>
  <c r="IS8" i="30" s="1"/>
  <c r="IS11" i="30" s="1"/>
  <c r="IQ11" i="31" l="1"/>
  <c r="OE11" i="31"/>
  <c r="OF9" i="31"/>
  <c r="OF4" i="31"/>
  <c r="OF10" i="31" s="1"/>
  <c r="OF8" i="31"/>
  <c r="GN4" i="31"/>
  <c r="IP10" i="31"/>
  <c r="IP4" i="31"/>
  <c r="IP8" i="31" s="1"/>
  <c r="IP9" i="31"/>
  <c r="AV4" i="31"/>
  <c r="IR10" i="30"/>
  <c r="IR9" i="30"/>
  <c r="AX4" i="30"/>
  <c r="IR4" i="30"/>
  <c r="IR8" i="30" s="1"/>
  <c r="OE11" i="30"/>
  <c r="OF9" i="30"/>
  <c r="GN4" i="30"/>
  <c r="OF8" i="30"/>
  <c r="OF4" i="30"/>
  <c r="OF10" i="30" s="1"/>
  <c r="OF11" i="31" l="1"/>
  <c r="OG4" i="31"/>
  <c r="OG10" i="31" s="1"/>
  <c r="OG8" i="31"/>
  <c r="GO4" i="31"/>
  <c r="OG9" i="31"/>
  <c r="AU4" i="31"/>
  <c r="IO10" i="31"/>
  <c r="IO4" i="31"/>
  <c r="IO8" i="31" s="1"/>
  <c r="IO9" i="31"/>
  <c r="IP11" i="31"/>
  <c r="IR11" i="30"/>
  <c r="IQ10" i="30"/>
  <c r="IQ9" i="30"/>
  <c r="IQ4" i="30"/>
  <c r="IQ8" i="30" s="1"/>
  <c r="AW4" i="30"/>
  <c r="OF11" i="30"/>
  <c r="OG8" i="30"/>
  <c r="OG9" i="30"/>
  <c r="GO4" i="30"/>
  <c r="OG4" i="30"/>
  <c r="OG10" i="30" s="1"/>
  <c r="OH8" i="31" l="1"/>
  <c r="OH9" i="31"/>
  <c r="GP4" i="31"/>
  <c r="OH4" i="31"/>
  <c r="OH10" i="31" s="1"/>
  <c r="OG11" i="31"/>
  <c r="IO11" i="31"/>
  <c r="IN10" i="31"/>
  <c r="IN4" i="31"/>
  <c r="IN8" i="31" s="1"/>
  <c r="IN9" i="31"/>
  <c r="AT4" i="31"/>
  <c r="IQ11" i="30"/>
  <c r="OG11" i="30"/>
  <c r="OH8" i="30"/>
  <c r="OH9" i="30"/>
  <c r="GP4" i="30"/>
  <c r="OH4" i="30"/>
  <c r="OH10" i="30" s="1"/>
  <c r="IP9" i="30"/>
  <c r="IP10" i="30"/>
  <c r="IP4" i="30"/>
  <c r="IP8" i="30" s="1"/>
  <c r="AV4" i="30"/>
  <c r="IN11" i="31" l="1"/>
  <c r="OI8" i="31"/>
  <c r="OI4" i="31"/>
  <c r="OI10" i="31" s="1"/>
  <c r="GQ4" i="31"/>
  <c r="OI9" i="31"/>
  <c r="OH11" i="31"/>
  <c r="IM4" i="31"/>
  <c r="IM8" i="31" s="1"/>
  <c r="IM10" i="31"/>
  <c r="AS4" i="31"/>
  <c r="IM9" i="31"/>
  <c r="IP11" i="30"/>
  <c r="OH11" i="30"/>
  <c r="IO9" i="30"/>
  <c r="IO10" i="30"/>
  <c r="IO4" i="30"/>
  <c r="IO8" i="30" s="1"/>
  <c r="AU4" i="30"/>
  <c r="OI8" i="30"/>
  <c r="OI9" i="30"/>
  <c r="OI4" i="30"/>
  <c r="OI10" i="30" s="1"/>
  <c r="GQ4" i="30"/>
  <c r="OJ9" i="31" l="1"/>
  <c r="OJ4" i="31"/>
  <c r="OJ10" i="31" s="1"/>
  <c r="GR4" i="31"/>
  <c r="OJ8" i="31"/>
  <c r="OI11" i="31"/>
  <c r="IL9" i="31"/>
  <c r="AR4" i="31"/>
  <c r="IL10" i="31"/>
  <c r="IL4" i="31"/>
  <c r="IL8" i="31" s="1"/>
  <c r="IM11" i="31"/>
  <c r="IO11" i="30"/>
  <c r="OJ9" i="30"/>
  <c r="GR4" i="30"/>
  <c r="OJ8" i="30"/>
  <c r="OJ4" i="30"/>
  <c r="OJ10" i="30" s="1"/>
  <c r="OI11" i="30"/>
  <c r="IN9" i="30"/>
  <c r="IN10" i="30"/>
  <c r="IN4" i="30"/>
  <c r="IN8" i="30" s="1"/>
  <c r="IN11" i="30" s="1"/>
  <c r="AT4" i="30"/>
  <c r="OJ11" i="31" l="1"/>
  <c r="IL11" i="31"/>
  <c r="GS4" i="31"/>
  <c r="OK8" i="31"/>
  <c r="OK9" i="31"/>
  <c r="OK4" i="31"/>
  <c r="OK10" i="31" s="1"/>
  <c r="IK9" i="31"/>
  <c r="IK10" i="31"/>
  <c r="AQ4" i="31"/>
  <c r="IK4" i="31"/>
  <c r="IK8" i="31" s="1"/>
  <c r="IM10" i="30"/>
  <c r="IM4" i="30"/>
  <c r="IM8" i="30" s="1"/>
  <c r="IM9" i="30"/>
  <c r="AS4" i="30"/>
  <c r="OK9" i="30"/>
  <c r="OK8" i="30"/>
  <c r="GS4" i="30"/>
  <c r="OK4" i="30"/>
  <c r="OK10" i="30" s="1"/>
  <c r="OJ11" i="30"/>
  <c r="IK11" i="31" l="1"/>
  <c r="IM11" i="30"/>
  <c r="OK11" i="31"/>
  <c r="GT4" i="31"/>
  <c r="OL4" i="31"/>
  <c r="OL10" i="31" s="1"/>
  <c r="OL8" i="31"/>
  <c r="OL9" i="31"/>
  <c r="IJ9" i="31"/>
  <c r="IJ4" i="31"/>
  <c r="IJ8" i="31" s="1"/>
  <c r="IJ10" i="31"/>
  <c r="AP4" i="31"/>
  <c r="OL8" i="30"/>
  <c r="OL9" i="30"/>
  <c r="GT4" i="30"/>
  <c r="OL4" i="30"/>
  <c r="OL10" i="30" s="1"/>
  <c r="OK11" i="30"/>
  <c r="IL10" i="30"/>
  <c r="AR4" i="30"/>
  <c r="IL9" i="30"/>
  <c r="IL4" i="30"/>
  <c r="IL8" i="30" s="1"/>
  <c r="IJ11" i="31" l="1"/>
  <c r="OL11" i="31"/>
  <c r="OM8" i="31"/>
  <c r="GU4" i="31"/>
  <c r="OM9" i="31"/>
  <c r="OM4" i="31"/>
  <c r="OM10" i="31" s="1"/>
  <c r="AO4" i="31"/>
  <c r="II4" i="31"/>
  <c r="II8" i="31" s="1"/>
  <c r="II10" i="31"/>
  <c r="II9" i="31"/>
  <c r="IL11" i="30"/>
  <c r="IK9" i="30"/>
  <c r="IK10" i="30"/>
  <c r="IK4" i="30"/>
  <c r="IK8" i="30" s="1"/>
  <c r="AQ4" i="30"/>
  <c r="OM8" i="30"/>
  <c r="OM9" i="30"/>
  <c r="GU4" i="30"/>
  <c r="OM4" i="30"/>
  <c r="OM10" i="30" s="1"/>
  <c r="OL11" i="30"/>
  <c r="ON4" i="31" l="1"/>
  <c r="ON10" i="31" s="1"/>
  <c r="ON9" i="31"/>
  <c r="ON8" i="31"/>
  <c r="GV4" i="31"/>
  <c r="OM11" i="31"/>
  <c r="II11" i="31"/>
  <c r="AN4" i="31"/>
  <c r="IH9" i="31"/>
  <c r="IH4" i="31"/>
  <c r="IH8" i="31" s="1"/>
  <c r="IH10" i="31"/>
  <c r="IK11" i="30"/>
  <c r="ON8" i="30"/>
  <c r="ON9" i="30"/>
  <c r="GV4" i="30"/>
  <c r="ON4" i="30"/>
  <c r="ON10" i="30" s="1"/>
  <c r="IJ9" i="30"/>
  <c r="IJ10" i="30"/>
  <c r="AP4" i="30"/>
  <c r="IJ4" i="30"/>
  <c r="IJ8" i="30" s="1"/>
  <c r="OM11" i="30"/>
  <c r="IJ11" i="30" l="1"/>
  <c r="ON11" i="31"/>
  <c r="OO8" i="31"/>
  <c r="OO4" i="31"/>
  <c r="OO10" i="31" s="1"/>
  <c r="OO9" i="31"/>
  <c r="GW4" i="31"/>
  <c r="IG4" i="31"/>
  <c r="IG8" i="31" s="1"/>
  <c r="AM4" i="31"/>
  <c r="IG10" i="31"/>
  <c r="IG9" i="31"/>
  <c r="IH11" i="31"/>
  <c r="II9" i="30"/>
  <c r="II10" i="30"/>
  <c r="AO4" i="30"/>
  <c r="II4" i="30"/>
  <c r="II8" i="30" s="1"/>
  <c r="OO9" i="30"/>
  <c r="OO8" i="30"/>
  <c r="OO4" i="30"/>
  <c r="OO10" i="30" s="1"/>
  <c r="GW4" i="30"/>
  <c r="ON11" i="30"/>
  <c r="OP4" i="31" l="1"/>
  <c r="OP10" i="31" s="1"/>
  <c r="GX4" i="31"/>
  <c r="OP8" i="31"/>
  <c r="OP9" i="31"/>
  <c r="OO11" i="31"/>
  <c r="IF10" i="31"/>
  <c r="IF4" i="31"/>
  <c r="IF8" i="31" s="1"/>
  <c r="IF9" i="31"/>
  <c r="AL4" i="31"/>
  <c r="IG11" i="31"/>
  <c r="OO11" i="30"/>
  <c r="II11" i="30"/>
  <c r="OP9" i="30"/>
  <c r="OP8" i="30"/>
  <c r="GX4" i="30"/>
  <c r="OP4" i="30"/>
  <c r="OP10" i="30" s="1"/>
  <c r="IH10" i="30"/>
  <c r="IH9" i="30"/>
  <c r="AN4" i="30"/>
  <c r="IH4" i="30"/>
  <c r="IH8" i="30" s="1"/>
  <c r="IH11" i="30" l="1"/>
  <c r="OP11" i="31"/>
  <c r="OQ9" i="31"/>
  <c r="OQ8" i="31"/>
  <c r="OQ4" i="31"/>
  <c r="OQ10" i="31" s="1"/>
  <c r="GY4" i="31"/>
  <c r="IE10" i="31"/>
  <c r="IE4" i="31"/>
  <c r="IE8" i="31" s="1"/>
  <c r="IE9" i="31"/>
  <c r="AK4" i="31"/>
  <c r="IF11" i="31"/>
  <c r="IG10" i="30"/>
  <c r="IG9" i="30"/>
  <c r="AM4" i="30"/>
  <c r="IG4" i="30"/>
  <c r="IG8" i="30" s="1"/>
  <c r="OP11" i="30"/>
  <c r="OQ9" i="30"/>
  <c r="OQ8" i="30"/>
  <c r="OQ4" i="30"/>
  <c r="OQ10" i="30" s="1"/>
  <c r="GY4" i="30"/>
  <c r="IG11" i="30" l="1"/>
  <c r="GZ4" i="31"/>
  <c r="OR4" i="31"/>
  <c r="OR10" i="31" s="1"/>
  <c r="OR8" i="31"/>
  <c r="OR9" i="31"/>
  <c r="OQ11" i="31"/>
  <c r="AJ4" i="31"/>
  <c r="ID4" i="31"/>
  <c r="ID8" i="31" s="1"/>
  <c r="ID10" i="31"/>
  <c r="ID9" i="31"/>
  <c r="IE11" i="31"/>
  <c r="OR9" i="30"/>
  <c r="OR8" i="30"/>
  <c r="GZ4" i="30"/>
  <c r="OR4" i="30"/>
  <c r="OR10" i="30" s="1"/>
  <c r="OQ11" i="30"/>
  <c r="IF10" i="30"/>
  <c r="IF9" i="30"/>
  <c r="IF4" i="30"/>
  <c r="IF8" i="30" s="1"/>
  <c r="AL4" i="30"/>
  <c r="OR11" i="31" l="1"/>
  <c r="OS9" i="31"/>
  <c r="OS8" i="31"/>
  <c r="OS4" i="31"/>
  <c r="OS10" i="31" s="1"/>
  <c r="HA4" i="31"/>
  <c r="ID11" i="31"/>
  <c r="IC4" i="31"/>
  <c r="IC8" i="31" s="1"/>
  <c r="IC9" i="31"/>
  <c r="IC10" i="31"/>
  <c r="AI4" i="31"/>
  <c r="IF11" i="30"/>
  <c r="IE10" i="30"/>
  <c r="IE9" i="30"/>
  <c r="IE4" i="30"/>
  <c r="IE8" i="30" s="1"/>
  <c r="AK4" i="30"/>
  <c r="OR11" i="30"/>
  <c r="OS8" i="30"/>
  <c r="OS9" i="30"/>
  <c r="HA4" i="30"/>
  <c r="OS4" i="30"/>
  <c r="OS10" i="30" s="1"/>
  <c r="LL4" i="19"/>
  <c r="LL9" i="19" s="1"/>
  <c r="LL8" i="19"/>
  <c r="DT4" i="19"/>
  <c r="DU4" i="19" s="1"/>
  <c r="DV4" i="19" s="1"/>
  <c r="DW4" i="19" s="1"/>
  <c r="DX4" i="19" s="1"/>
  <c r="DY4" i="19" s="1"/>
  <c r="DZ4" i="19" s="1"/>
  <c r="EA4" i="19" s="1"/>
  <c r="EB4" i="19" s="1"/>
  <c r="EC4" i="19" s="1"/>
  <c r="ED4" i="19" s="1"/>
  <c r="EE4" i="19" s="1"/>
  <c r="EF4" i="19" s="1"/>
  <c r="EG4" i="19" s="1"/>
  <c r="EH4" i="19" s="1"/>
  <c r="EI4" i="19" s="1"/>
  <c r="EJ4" i="19" s="1"/>
  <c r="EK4" i="19" s="1"/>
  <c r="EL4" i="19" s="1"/>
  <c r="EM4" i="19" s="1"/>
  <c r="EN4" i="19" s="1"/>
  <c r="EO4" i="19" s="1"/>
  <c r="EP4" i="19" s="1"/>
  <c r="EQ4" i="19" s="1"/>
  <c r="ER4" i="19" s="1"/>
  <c r="ES4" i="19" s="1"/>
  <c r="ET4" i="19" s="1"/>
  <c r="EU4" i="19" s="1"/>
  <c r="EV4" i="19" s="1"/>
  <c r="EW4" i="19" s="1"/>
  <c r="EX4" i="19" s="1"/>
  <c r="EY4" i="19" s="1"/>
  <c r="EZ4" i="19" s="1"/>
  <c r="FA4" i="19" s="1"/>
  <c r="FB4" i="19" s="1"/>
  <c r="FC4" i="19" s="1"/>
  <c r="FD4" i="19" s="1"/>
  <c r="FE4" i="19" s="1"/>
  <c r="FF4" i="19" s="1"/>
  <c r="FG4" i="19" s="1"/>
  <c r="FH4" i="19" s="1"/>
  <c r="FI4" i="19" s="1"/>
  <c r="FJ4" i="19" s="1"/>
  <c r="FK4" i="19" s="1"/>
  <c r="FL4" i="19" s="1"/>
  <c r="FM4" i="19" s="1"/>
  <c r="FN4" i="19" s="1"/>
  <c r="FO4" i="19" s="1"/>
  <c r="FP4" i="19" s="1"/>
  <c r="FQ4" i="19" s="1"/>
  <c r="FR4" i="19" s="1"/>
  <c r="FS4" i="19" s="1"/>
  <c r="FT4" i="19" s="1"/>
  <c r="FU4" i="19" s="1"/>
  <c r="FV4" i="19" s="1"/>
  <c r="FW4" i="19" s="1"/>
  <c r="FX4" i="19" s="1"/>
  <c r="FY4" i="19" s="1"/>
  <c r="FZ4" i="19" s="1"/>
  <c r="GA4" i="19" s="1"/>
  <c r="GB4" i="19" s="1"/>
  <c r="GC4" i="19" s="1"/>
  <c r="GD4" i="19" s="1"/>
  <c r="GE4" i="19" s="1"/>
  <c r="GF4" i="19" s="1"/>
  <c r="GG4" i="19" s="1"/>
  <c r="GH4" i="19" s="1"/>
  <c r="GI4" i="19" s="1"/>
  <c r="GJ4" i="19" s="1"/>
  <c r="GK4" i="19" s="1"/>
  <c r="GL4" i="19" s="1"/>
  <c r="GM4" i="19" s="1"/>
  <c r="GN4" i="19" s="1"/>
  <c r="GO4" i="19" s="1"/>
  <c r="GP4" i="19" s="1"/>
  <c r="GQ4" i="19" s="1"/>
  <c r="GR4" i="19" s="1"/>
  <c r="GS4" i="19" s="1"/>
  <c r="GT4" i="19" s="1"/>
  <c r="GU4" i="19" s="1"/>
  <c r="GV4" i="19" s="1"/>
  <c r="GW4" i="19" s="1"/>
  <c r="GX4" i="19" s="1"/>
  <c r="GY4" i="19" s="1"/>
  <c r="GZ4" i="19" s="1"/>
  <c r="HA4" i="19" s="1"/>
  <c r="HB4" i="19" s="1"/>
  <c r="HC4" i="19" s="1"/>
  <c r="HD4" i="19" s="1"/>
  <c r="HE4" i="19" s="1"/>
  <c r="HF4" i="19" s="1"/>
  <c r="HG4" i="19" s="1"/>
  <c r="HH4" i="19" s="1"/>
  <c r="HI4" i="19" s="1"/>
  <c r="HJ4" i="19" s="1"/>
  <c r="HK4" i="19" s="1"/>
  <c r="HL4" i="19" s="1"/>
  <c r="HM4" i="19" s="1"/>
  <c r="HN4" i="19" s="1"/>
  <c r="HO4" i="19" s="1"/>
  <c r="IE11" i="30" l="1"/>
  <c r="OT9" i="31"/>
  <c r="OT4" i="31"/>
  <c r="OT10" i="31" s="1"/>
  <c r="HB4" i="31"/>
  <c r="OT8" i="31"/>
  <c r="OS11" i="31"/>
  <c r="IB4" i="31"/>
  <c r="IB8" i="31" s="1"/>
  <c r="AH4" i="31"/>
  <c r="IB10" i="31"/>
  <c r="IB9" i="31"/>
  <c r="IC11" i="31"/>
  <c r="OT8" i="30"/>
  <c r="OT9" i="30"/>
  <c r="OT4" i="30"/>
  <c r="OT10" i="30" s="1"/>
  <c r="HB4" i="30"/>
  <c r="OS11" i="30"/>
  <c r="ID9" i="30"/>
  <c r="ID10" i="30"/>
  <c r="AJ4" i="30"/>
  <c r="ID4" i="30"/>
  <c r="ID8" i="30" s="1"/>
  <c r="ID11" i="30" s="1"/>
  <c r="LL10" i="19"/>
  <c r="LL11" i="19" s="1"/>
  <c r="LN8" i="19"/>
  <c r="LN4" i="19"/>
  <c r="LN9" i="19" s="1"/>
  <c r="LM8" i="19"/>
  <c r="LM4" i="19"/>
  <c r="LM9" i="19" s="1"/>
  <c r="OT11" i="31" l="1"/>
  <c r="HC4" i="31"/>
  <c r="OU8" i="31"/>
  <c r="OU4" i="31"/>
  <c r="OU10" i="31" s="1"/>
  <c r="OU9" i="31"/>
  <c r="AG4" i="31"/>
  <c r="IA4" i="31"/>
  <c r="IA8" i="31" s="1"/>
  <c r="IA10" i="31"/>
  <c r="IA9" i="31"/>
  <c r="IB11" i="31"/>
  <c r="IC9" i="30"/>
  <c r="IC4" i="30"/>
  <c r="IC8" i="30" s="1"/>
  <c r="IC10" i="30"/>
  <c r="AI4" i="30"/>
  <c r="OU8" i="30"/>
  <c r="OU9" i="30"/>
  <c r="OU4" i="30"/>
  <c r="OU10" i="30" s="1"/>
  <c r="HC4" i="30"/>
  <c r="OT11" i="30"/>
  <c r="LM10" i="19"/>
  <c r="LM11" i="19" s="1"/>
  <c r="LN10" i="19"/>
  <c r="LN11" i="19" s="1"/>
  <c r="LO4" i="19"/>
  <c r="LO10" i="19" s="1"/>
  <c r="LO8" i="19"/>
  <c r="LO9" i="19"/>
  <c r="IC11" i="30" l="1"/>
  <c r="IA11" i="31"/>
  <c r="OU11" i="31"/>
  <c r="OV8" i="31"/>
  <c r="OV9" i="31"/>
  <c r="OV4" i="31"/>
  <c r="OV10" i="31" s="1"/>
  <c r="HD4" i="31"/>
  <c r="HZ10" i="31"/>
  <c r="AF4" i="31"/>
  <c r="HZ9" i="31"/>
  <c r="HZ4" i="31"/>
  <c r="HZ8" i="31" s="1"/>
  <c r="OV9" i="30"/>
  <c r="OV8" i="30"/>
  <c r="HD4" i="30"/>
  <c r="OV4" i="30"/>
  <c r="OV10" i="30" s="1"/>
  <c r="OU11" i="30"/>
  <c r="IB9" i="30"/>
  <c r="IB10" i="30"/>
  <c r="IB4" i="30"/>
  <c r="IB8" i="30" s="1"/>
  <c r="AH4" i="30"/>
  <c r="LP4" i="19"/>
  <c r="LP9" i="19" s="1"/>
  <c r="LP8" i="19"/>
  <c r="LO11" i="19"/>
  <c r="HZ11" i="31" l="1"/>
  <c r="IB11" i="30"/>
  <c r="HE4" i="31"/>
  <c r="OW8" i="31"/>
  <c r="OW9" i="31"/>
  <c r="OW4" i="31"/>
  <c r="OW10" i="31" s="1"/>
  <c r="OV11" i="31"/>
  <c r="AE4" i="31"/>
  <c r="HY10" i="31"/>
  <c r="HY9" i="31"/>
  <c r="HY4" i="31"/>
  <c r="HY8" i="31" s="1"/>
  <c r="OV11" i="30"/>
  <c r="IA10" i="30"/>
  <c r="IA9" i="30"/>
  <c r="AG4" i="30"/>
  <c r="IA4" i="30"/>
  <c r="IA8" i="30" s="1"/>
  <c r="OW9" i="30"/>
  <c r="OW8" i="30"/>
  <c r="HE4" i="30"/>
  <c r="OW4" i="30"/>
  <c r="OW10" i="30" s="1"/>
  <c r="LP10" i="19"/>
  <c r="LP11" i="19" s="1"/>
  <c r="LQ8" i="19"/>
  <c r="LQ4" i="19"/>
  <c r="LQ9" i="19" s="1"/>
  <c r="HY11" i="31" l="1"/>
  <c r="OW11" i="31"/>
  <c r="OX8" i="31"/>
  <c r="OX9" i="31"/>
  <c r="OX4" i="31"/>
  <c r="OX10" i="31" s="1"/>
  <c r="HF4" i="31"/>
  <c r="HX4" i="31"/>
  <c r="HX8" i="31" s="1"/>
  <c r="HX9" i="31"/>
  <c r="AD4" i="31"/>
  <c r="HX10" i="31"/>
  <c r="IA11" i="30"/>
  <c r="OW11" i="30"/>
  <c r="HZ10" i="30"/>
  <c r="HZ4" i="30"/>
  <c r="HZ8" i="30" s="1"/>
  <c r="HZ9" i="30"/>
  <c r="AF4" i="30"/>
  <c r="OX8" i="30"/>
  <c r="OX9" i="30"/>
  <c r="OX4" i="30"/>
  <c r="OX10" i="30" s="1"/>
  <c r="HF4" i="30"/>
  <c r="LQ10" i="19"/>
  <c r="LQ11" i="19" s="1"/>
  <c r="LR4" i="19"/>
  <c r="LR9" i="19" s="1"/>
  <c r="LR8" i="19"/>
  <c r="OY4" i="31" l="1"/>
  <c r="OY10" i="31" s="1"/>
  <c r="HG4" i="31"/>
  <c r="OY8" i="31"/>
  <c r="OY9" i="31"/>
  <c r="OX11" i="31"/>
  <c r="AC4" i="31"/>
  <c r="HW10" i="31"/>
  <c r="HW9" i="31"/>
  <c r="HW4" i="31"/>
  <c r="HW8" i="31" s="1"/>
  <c r="HX11" i="31"/>
  <c r="HZ11" i="30"/>
  <c r="HY9" i="30"/>
  <c r="HY10" i="30"/>
  <c r="HY4" i="30"/>
  <c r="HY8" i="30" s="1"/>
  <c r="AE4" i="30"/>
  <c r="OY4" i="30"/>
  <c r="OY10" i="30" s="1"/>
  <c r="OY9" i="30"/>
  <c r="OY8" i="30"/>
  <c r="HG4" i="30"/>
  <c r="OX11" i="30"/>
  <c r="LR10" i="19"/>
  <c r="LR11" i="19" s="1"/>
  <c r="LS4" i="19"/>
  <c r="LS10" i="19" s="1"/>
  <c r="LS8" i="19"/>
  <c r="LS9" i="19"/>
  <c r="HW11" i="31" l="1"/>
  <c r="OY11" i="31"/>
  <c r="OZ4" i="31"/>
  <c r="OZ10" i="31" s="1"/>
  <c r="OZ9" i="31"/>
  <c r="OZ8" i="31"/>
  <c r="HH4" i="31"/>
  <c r="HV9" i="31"/>
  <c r="AB4" i="31"/>
  <c r="HV4" i="31"/>
  <c r="HV8" i="31" s="1"/>
  <c r="HV10" i="31"/>
  <c r="OY11" i="30"/>
  <c r="HY11" i="30"/>
  <c r="OZ8" i="30"/>
  <c r="OZ9" i="30"/>
  <c r="HH4" i="30"/>
  <c r="OZ4" i="30"/>
  <c r="OZ10" i="30" s="1"/>
  <c r="HX9" i="30"/>
  <c r="HX10" i="30"/>
  <c r="HX4" i="30"/>
  <c r="HX8" i="30" s="1"/>
  <c r="AD4" i="30"/>
  <c r="LS11" i="19"/>
  <c r="LT4" i="19"/>
  <c r="LT9" i="19" s="1"/>
  <c r="LT8" i="19"/>
  <c r="HV11" i="31" l="1"/>
  <c r="HX11" i="30"/>
  <c r="PA4" i="31"/>
  <c r="PA10" i="31" s="1"/>
  <c r="PA9" i="31"/>
  <c r="PA8" i="31"/>
  <c r="HI4" i="31"/>
  <c r="OZ11" i="31"/>
  <c r="AA4" i="31"/>
  <c r="HU4" i="31"/>
  <c r="HU8" i="31" s="1"/>
  <c r="HU9" i="31"/>
  <c r="HU10" i="31"/>
  <c r="HW9" i="30"/>
  <c r="HW10" i="30"/>
  <c r="AC4" i="30"/>
  <c r="HW4" i="30"/>
  <c r="HW8" i="30" s="1"/>
  <c r="PA9" i="30"/>
  <c r="PA8" i="30"/>
  <c r="PA4" i="30"/>
  <c r="PA10" i="30" s="1"/>
  <c r="HI4" i="30"/>
  <c r="OZ11" i="30"/>
  <c r="LT10" i="19"/>
  <c r="LT11" i="19" s="1"/>
  <c r="LU4" i="19"/>
  <c r="LU10" i="19" s="1"/>
  <c r="LU8" i="19"/>
  <c r="LU9" i="19"/>
  <c r="PB8" i="31" l="1"/>
  <c r="PB9" i="31"/>
  <c r="HJ4" i="31"/>
  <c r="PB4" i="31"/>
  <c r="PB10" i="31" s="1"/>
  <c r="PA11" i="31"/>
  <c r="HU11" i="31"/>
  <c r="Z4" i="31"/>
  <c r="HT4" i="31"/>
  <c r="HT8" i="31" s="1"/>
  <c r="HT10" i="31"/>
  <c r="HT9" i="31"/>
  <c r="HW11" i="30"/>
  <c r="PB9" i="30"/>
  <c r="PB8" i="30"/>
  <c r="HJ4" i="30"/>
  <c r="PB4" i="30"/>
  <c r="PB10" i="30" s="1"/>
  <c r="PA11" i="30"/>
  <c r="HV10" i="30"/>
  <c r="HV9" i="30"/>
  <c r="AB4" i="30"/>
  <c r="HV4" i="30"/>
  <c r="HV8" i="30" s="1"/>
  <c r="HV11" i="30" s="1"/>
  <c r="LU11" i="19"/>
  <c r="LV4" i="19"/>
  <c r="LV10" i="19" s="1"/>
  <c r="LV8" i="19"/>
  <c r="PC4" i="31" l="1"/>
  <c r="PC10" i="31" s="1"/>
  <c r="PC8" i="31"/>
  <c r="PC9" i="31"/>
  <c r="HK4" i="31"/>
  <c r="PB11" i="31"/>
  <c r="HT11" i="31"/>
  <c r="HS9" i="31"/>
  <c r="Y4" i="31"/>
  <c r="HS4" i="31"/>
  <c r="HS8" i="31" s="1"/>
  <c r="HS10" i="31"/>
  <c r="HU10" i="30"/>
  <c r="HU9" i="30"/>
  <c r="AA4" i="30"/>
  <c r="HU4" i="30"/>
  <c r="HU8" i="30" s="1"/>
  <c r="PB11" i="30"/>
  <c r="PC9" i="30"/>
  <c r="PC8" i="30"/>
  <c r="HK4" i="30"/>
  <c r="PC4" i="30"/>
  <c r="PC10" i="30" s="1"/>
  <c r="LV9" i="19"/>
  <c r="LV11" i="19" s="1"/>
  <c r="LW4" i="19"/>
  <c r="LW9" i="19" s="1"/>
  <c r="LW8" i="19"/>
  <c r="HS11" i="31" l="1"/>
  <c r="HU11" i="30"/>
  <c r="LW10" i="19"/>
  <c r="LW11" i="19" s="1"/>
  <c r="PC11" i="31"/>
  <c r="HL4" i="31"/>
  <c r="PD4" i="31"/>
  <c r="PD10" i="31" s="1"/>
  <c r="PD8" i="31"/>
  <c r="PD9" i="31"/>
  <c r="HR4" i="31"/>
  <c r="HR8" i="31" s="1"/>
  <c r="HR10" i="31"/>
  <c r="X4" i="31"/>
  <c r="HR9" i="31"/>
  <c r="PD9" i="30"/>
  <c r="HL4" i="30"/>
  <c r="PD8" i="30"/>
  <c r="PD4" i="30"/>
  <c r="PD10" i="30" s="1"/>
  <c r="PC11" i="30"/>
  <c r="HT10" i="30"/>
  <c r="HT9" i="30"/>
  <c r="HT4" i="30"/>
  <c r="HT8" i="30" s="1"/>
  <c r="Z4" i="30"/>
  <c r="LX4" i="19"/>
  <c r="LX10" i="19" s="1"/>
  <c r="LX8" i="19"/>
  <c r="PD11" i="31" l="1"/>
  <c r="PE8" i="31"/>
  <c r="PE9" i="31"/>
  <c r="HM4" i="31"/>
  <c r="PE4" i="31"/>
  <c r="PE10" i="31" s="1"/>
  <c r="HQ9" i="31"/>
  <c r="W4" i="31"/>
  <c r="HQ4" i="31"/>
  <c r="HQ8" i="31" s="1"/>
  <c r="HQ10" i="31"/>
  <c r="HR11" i="31"/>
  <c r="HT11" i="30"/>
  <c r="HS10" i="30"/>
  <c r="HS9" i="30"/>
  <c r="HS4" i="30"/>
  <c r="HS8" i="30" s="1"/>
  <c r="Y4" i="30"/>
  <c r="PE8" i="30"/>
  <c r="PE9" i="30"/>
  <c r="PE4" i="30"/>
  <c r="PE10" i="30" s="1"/>
  <c r="HM4" i="30"/>
  <c r="PD11" i="30"/>
  <c r="LX9" i="19"/>
  <c r="LX11" i="19" s="1"/>
  <c r="LY4" i="19"/>
  <c r="LY10" i="19" s="1"/>
  <c r="LY9" i="19"/>
  <c r="LY8" i="19"/>
  <c r="HQ11" i="31" l="1"/>
  <c r="HS11" i="30"/>
  <c r="PF9" i="31"/>
  <c r="PF4" i="31"/>
  <c r="PF10" i="31" s="1"/>
  <c r="HN4" i="31"/>
  <c r="PF8" i="31"/>
  <c r="PE11" i="31"/>
  <c r="HP9" i="31"/>
  <c r="HP10" i="31"/>
  <c r="HP4" i="31"/>
  <c r="HP8" i="31" s="1"/>
  <c r="PF8" i="30"/>
  <c r="PF9" i="30"/>
  <c r="HN4" i="30"/>
  <c r="PF4" i="30"/>
  <c r="PF10" i="30" s="1"/>
  <c r="PE11" i="30"/>
  <c r="HR9" i="30"/>
  <c r="HR10" i="30"/>
  <c r="X4" i="30"/>
  <c r="HR4" i="30"/>
  <c r="HR8" i="30" s="1"/>
  <c r="LY11" i="19"/>
  <c r="LZ4" i="19"/>
  <c r="LZ10" i="19" s="1"/>
  <c r="LZ8" i="19"/>
  <c r="LZ9" i="19"/>
  <c r="HR11" i="30" l="1"/>
  <c r="HP11" i="31"/>
  <c r="PF11" i="31"/>
  <c r="PG8" i="31"/>
  <c r="PG4" i="31"/>
  <c r="PG10" i="31" s="1"/>
  <c r="PG9" i="31"/>
  <c r="HO4" i="31"/>
  <c r="HQ10" i="30"/>
  <c r="HQ4" i="30"/>
  <c r="HQ8" i="30" s="1"/>
  <c r="HQ9" i="30"/>
  <c r="W4" i="30"/>
  <c r="PG8" i="30"/>
  <c r="PG9" i="30"/>
  <c r="HO4" i="30"/>
  <c r="PG4" i="30"/>
  <c r="PG10" i="30" s="1"/>
  <c r="PF11" i="30"/>
  <c r="MA4" i="19"/>
  <c r="MA10" i="19" s="1"/>
  <c r="MA8" i="19"/>
  <c r="MA9" i="19"/>
  <c r="LZ11" i="19"/>
  <c r="PH8" i="31" l="1"/>
  <c r="PH9" i="31"/>
  <c r="PH4" i="31"/>
  <c r="PH10" i="31" s="1"/>
  <c r="PG11" i="31"/>
  <c r="HQ11" i="30"/>
  <c r="PH9" i="30"/>
  <c r="PH8" i="30"/>
  <c r="PH4" i="30"/>
  <c r="PH10" i="30" s="1"/>
  <c r="PG11" i="30"/>
  <c r="HP9" i="30"/>
  <c r="HP10" i="30"/>
  <c r="HP4" i="30"/>
  <c r="HP8" i="30" s="1"/>
  <c r="HP11" i="30" s="1"/>
  <c r="MB8" i="19"/>
  <c r="MB4" i="19"/>
  <c r="MB10" i="19" s="1"/>
  <c r="MA11" i="19"/>
  <c r="PH11" i="31" l="1"/>
  <c r="PH11" i="30"/>
  <c r="MB9" i="19"/>
  <c r="MB11" i="19" s="1"/>
  <c r="MC8" i="19"/>
  <c r="MC4" i="19"/>
  <c r="MC10" i="19" s="1"/>
  <c r="MC9" i="19" l="1"/>
  <c r="MC11" i="19" s="1"/>
  <c r="MD4" i="19"/>
  <c r="MD10" i="19" s="1"/>
  <c r="MD8" i="19"/>
  <c r="MD9" i="19" l="1"/>
  <c r="MD11" i="19" s="1"/>
  <c r="ME4" i="19"/>
  <c r="ME10" i="19" s="1"/>
  <c r="ME8" i="19"/>
  <c r="ME9" i="19" l="1"/>
  <c r="ME11" i="19" s="1"/>
  <c r="MF8" i="19"/>
  <c r="MF4" i="19"/>
  <c r="MF10" i="19" s="1"/>
  <c r="MF9" i="19" l="1"/>
  <c r="MF11" i="19" s="1"/>
  <c r="MG4" i="19"/>
  <c r="MG10" i="19" s="1"/>
  <c r="MG8" i="19"/>
  <c r="MG9" i="19" l="1"/>
  <c r="MG11" i="19" s="1"/>
  <c r="MH8" i="19"/>
  <c r="MH4" i="19"/>
  <c r="MH10" i="19" s="1"/>
  <c r="MH9" i="19" l="1"/>
  <c r="MH11" i="19" s="1"/>
  <c r="MI8" i="19"/>
  <c r="MI4" i="19"/>
  <c r="MI10" i="19" s="1"/>
  <c r="MI9" i="19" l="1"/>
  <c r="MI11" i="19" s="1"/>
  <c r="MJ4" i="19"/>
  <c r="MJ10" i="19" s="1"/>
  <c r="MJ8" i="19"/>
  <c r="MJ9" i="19" l="1"/>
  <c r="MJ11" i="19" s="1"/>
  <c r="MK4" i="19"/>
  <c r="MK9" i="19" s="1"/>
  <c r="MK8" i="19"/>
  <c r="MK10" i="19"/>
  <c r="MK11" i="19" l="1"/>
  <c r="ML4" i="19"/>
  <c r="ML10" i="19" s="1"/>
  <c r="ML8" i="19"/>
  <c r="ML9" i="19" l="1"/>
  <c r="ML11" i="19" s="1"/>
  <c r="MM8" i="19"/>
  <c r="MM4" i="19"/>
  <c r="MM10" i="19" s="1"/>
  <c r="MM9" i="19" l="1"/>
  <c r="MM11" i="19" s="1"/>
  <c r="MN8" i="19"/>
  <c r="MN4" i="19"/>
  <c r="MN10" i="19" s="1"/>
  <c r="MN9" i="19"/>
  <c r="MN11" i="19" l="1"/>
  <c r="MO4" i="19"/>
  <c r="MO10" i="19" s="1"/>
  <c r="MO8" i="19"/>
  <c r="MO9" i="19"/>
  <c r="MO11" i="19" l="1"/>
  <c r="MP4" i="19"/>
  <c r="MP10" i="19" s="1"/>
  <c r="MP8" i="19"/>
  <c r="MP9" i="19" l="1"/>
  <c r="MP11" i="19" s="1"/>
  <c r="MQ4" i="19"/>
  <c r="MQ10" i="19" s="1"/>
  <c r="MQ8" i="19"/>
  <c r="MQ9" i="19" l="1"/>
  <c r="MQ11" i="19" s="1"/>
  <c r="MR4" i="19"/>
  <c r="MR10" i="19" s="1"/>
  <c r="MR9" i="19"/>
  <c r="MR8" i="19"/>
  <c r="MS8" i="19" l="1"/>
  <c r="MS4" i="19"/>
  <c r="MS10" i="19" s="1"/>
  <c r="MR11" i="19"/>
  <c r="MS9" i="19" l="1"/>
  <c r="MS11" i="19" s="1"/>
  <c r="MT8" i="19"/>
  <c r="MT4" i="19"/>
  <c r="MT10" i="19" s="1"/>
  <c r="MT9" i="19" l="1"/>
  <c r="MU4" i="19"/>
  <c r="MU10" i="19" s="1"/>
  <c r="MU9" i="19"/>
  <c r="MU8" i="19"/>
  <c r="MT11" i="19"/>
  <c r="MU11" i="19" l="1"/>
  <c r="MV4" i="19"/>
  <c r="MV10" i="19" s="1"/>
  <c r="MV8" i="19"/>
  <c r="MV9" i="19" l="1"/>
  <c r="MV11" i="19" s="1"/>
  <c r="MW4" i="19"/>
  <c r="MW10" i="19" s="1"/>
  <c r="MW9" i="19"/>
  <c r="MW8" i="19"/>
  <c r="MW11" i="19" l="1"/>
  <c r="MX8" i="19"/>
  <c r="MX4" i="19"/>
  <c r="MX10" i="19" s="1"/>
  <c r="MX9" i="19" l="1"/>
  <c r="MX11" i="19" s="1"/>
  <c r="MY8" i="19"/>
  <c r="MY4" i="19"/>
  <c r="MY10" i="19" s="1"/>
  <c r="MY9" i="19" l="1"/>
  <c r="MY11" i="19" s="1"/>
  <c r="MZ8" i="19"/>
  <c r="MZ4" i="19"/>
  <c r="MZ10" i="19" s="1"/>
  <c r="MZ9" i="19" l="1"/>
  <c r="MZ11" i="19" s="1"/>
  <c r="NA4" i="19"/>
  <c r="NA10" i="19" s="1"/>
  <c r="NA9" i="19"/>
  <c r="NA8" i="19"/>
  <c r="NA11" i="19" l="1"/>
  <c r="NB4" i="19"/>
  <c r="NB10" i="19" s="1"/>
  <c r="NB8" i="19"/>
  <c r="NB9" i="19"/>
  <c r="NB11" i="19" l="1"/>
  <c r="NC9" i="19"/>
  <c r="NC4" i="19"/>
  <c r="NC10" i="19" s="1"/>
  <c r="NC8" i="19"/>
  <c r="ND8" i="19" l="1"/>
  <c r="ND4" i="19"/>
  <c r="ND10" i="19" s="1"/>
  <c r="NC11" i="19"/>
  <c r="ND9" i="19" l="1"/>
  <c r="ND11" i="19" s="1"/>
  <c r="NE4" i="19"/>
  <c r="NE9" i="19"/>
  <c r="NE8" i="19"/>
  <c r="NE10" i="19"/>
  <c r="NE11" i="19" l="1"/>
  <c r="NF8" i="19"/>
  <c r="NF4" i="19"/>
  <c r="NF10" i="19" s="1"/>
  <c r="NF9" i="19" l="1"/>
  <c r="NF11" i="19" s="1"/>
  <c r="NG8" i="19"/>
  <c r="NG9" i="19"/>
  <c r="NG4" i="19"/>
  <c r="NG10" i="19" s="1"/>
  <c r="NH4" i="19" l="1"/>
  <c r="NH10" i="19" s="1"/>
  <c r="NH9" i="19"/>
  <c r="NH8" i="19"/>
  <c r="NG11" i="19"/>
  <c r="NH11" i="19" l="1"/>
  <c r="NI8" i="19"/>
  <c r="NI9" i="19"/>
  <c r="NI4" i="19"/>
  <c r="NI10" i="19" s="1"/>
  <c r="NJ4" i="19" l="1"/>
  <c r="NJ10" i="19" s="1"/>
  <c r="NJ9" i="19"/>
  <c r="NJ8" i="19"/>
  <c r="NI11" i="19"/>
  <c r="NK4" i="19" l="1"/>
  <c r="NK9" i="19"/>
  <c r="NK8" i="19"/>
  <c r="NK10" i="19"/>
  <c r="NJ11" i="19"/>
  <c r="NL4" i="19" l="1"/>
  <c r="NL10" i="19" s="1"/>
  <c r="NL9" i="19"/>
  <c r="NL8" i="19"/>
  <c r="NK11" i="19"/>
  <c r="NL11" i="19" l="1"/>
  <c r="NM4" i="19"/>
  <c r="NM10" i="19" s="1"/>
  <c r="NM9" i="19"/>
  <c r="NM8" i="19"/>
  <c r="NM11" i="19" l="1"/>
  <c r="NN8" i="19"/>
  <c r="NN4" i="19"/>
  <c r="NN10" i="19" s="1"/>
  <c r="NN9" i="19"/>
  <c r="NO9" i="19" l="1"/>
  <c r="NO4" i="19"/>
  <c r="NO10" i="19" s="1"/>
  <c r="NO8" i="19"/>
  <c r="NN11" i="19"/>
  <c r="NO11" i="19" l="1"/>
  <c r="NP4" i="19"/>
  <c r="NP10" i="19" s="1"/>
  <c r="NP8" i="19"/>
  <c r="NP9" i="19"/>
  <c r="NQ4" i="19" l="1"/>
  <c r="NQ10" i="19" s="1"/>
  <c r="NQ9" i="19"/>
  <c r="NQ8" i="19"/>
  <c r="NP11" i="19"/>
  <c r="NR9" i="19" l="1"/>
  <c r="NR4" i="19"/>
  <c r="NR10" i="19" s="1"/>
  <c r="NR8" i="19"/>
  <c r="NQ11" i="19"/>
  <c r="NS8" i="19" l="1"/>
  <c r="NS9" i="19"/>
  <c r="NS4" i="19"/>
  <c r="NS10" i="19" s="1"/>
  <c r="NR11" i="19"/>
  <c r="NT4" i="19" l="1"/>
  <c r="NT9" i="19"/>
  <c r="NT10" i="19"/>
  <c r="NT8" i="19"/>
  <c r="NS11" i="19"/>
  <c r="NT11" i="19" l="1"/>
  <c r="NU8" i="19"/>
  <c r="NU4" i="19"/>
  <c r="NU10" i="19" s="1"/>
  <c r="NU9" i="19"/>
  <c r="NV9" i="19" l="1"/>
  <c r="NV4" i="19"/>
  <c r="NV10" i="19" s="1"/>
  <c r="NV8" i="19"/>
  <c r="NU11" i="19"/>
  <c r="NV11" i="19" l="1"/>
  <c r="NW4" i="19"/>
  <c r="NW10" i="19" s="1"/>
  <c r="NW9" i="19"/>
  <c r="NW8" i="19"/>
  <c r="NX8" i="19" l="1"/>
  <c r="NX9" i="19"/>
  <c r="NX4" i="19"/>
  <c r="NX10" i="19" s="1"/>
  <c r="NW11" i="19"/>
  <c r="NY8" i="19" l="1"/>
  <c r="NY4" i="19"/>
  <c r="NY10" i="19" s="1"/>
  <c r="NY9" i="19"/>
  <c r="NX11" i="19"/>
  <c r="NZ4" i="19" l="1"/>
  <c r="NZ10" i="19" s="1"/>
  <c r="NZ8" i="19"/>
  <c r="NZ9" i="19"/>
  <c r="NY11" i="19"/>
  <c r="OA8" i="19" l="1"/>
  <c r="OA4" i="19"/>
  <c r="OA10" i="19" s="1"/>
  <c r="OA9" i="19"/>
  <c r="NZ11" i="19"/>
  <c r="OB9" i="19" l="1"/>
  <c r="OB4" i="19"/>
  <c r="OB10" i="19" s="1"/>
  <c r="OB8" i="19"/>
  <c r="OA11" i="19"/>
  <c r="OC8" i="19" l="1"/>
  <c r="OC9" i="19"/>
  <c r="OC4" i="19"/>
  <c r="OC10" i="19" s="1"/>
  <c r="OB11" i="19"/>
  <c r="OD4" i="19" l="1"/>
  <c r="OD10" i="19" s="1"/>
  <c r="OD8" i="19"/>
  <c r="OD9" i="19"/>
  <c r="OC11" i="19"/>
  <c r="OE9" i="19" l="1"/>
  <c r="OE8" i="19"/>
  <c r="OE4" i="19"/>
  <c r="OE10" i="19" s="1"/>
  <c r="OD11" i="19"/>
  <c r="OF8" i="19" l="1"/>
  <c r="OF9" i="19"/>
  <c r="OF4" i="19"/>
  <c r="OF10" i="19" s="1"/>
  <c r="OE11" i="19"/>
  <c r="OG4" i="19" l="1"/>
  <c r="OG10" i="19" s="1"/>
  <c r="OG8" i="19"/>
  <c r="OG9" i="19"/>
  <c r="OF11" i="19"/>
  <c r="OH9" i="19" l="1"/>
  <c r="OH8" i="19"/>
  <c r="OH4" i="19"/>
  <c r="OH10" i="19" s="1"/>
  <c r="OG11" i="19"/>
  <c r="OI8" i="19" l="1"/>
  <c r="OI9" i="19"/>
  <c r="OI4" i="19"/>
  <c r="OI10" i="19" s="1"/>
  <c r="OH11" i="19"/>
  <c r="OJ8" i="19" l="1"/>
  <c r="OJ4" i="19"/>
  <c r="OJ10" i="19" s="1"/>
  <c r="OJ9" i="19"/>
  <c r="OI11" i="19"/>
  <c r="OJ11" i="19" l="1"/>
  <c r="OK8" i="19"/>
  <c r="OK4" i="19"/>
  <c r="OK10" i="19" s="1"/>
  <c r="OK9" i="19"/>
  <c r="OL8" i="19" l="1"/>
  <c r="OL4" i="19"/>
  <c r="OL10" i="19" s="1"/>
  <c r="OL9" i="19"/>
  <c r="OK11" i="19"/>
  <c r="OL11" i="19" l="1"/>
  <c r="OM8" i="19"/>
  <c r="OM9" i="19"/>
  <c r="OM4" i="19"/>
  <c r="OM10" i="19" s="1"/>
  <c r="ON4" i="19" l="1"/>
  <c r="ON10" i="19" s="1"/>
  <c r="ON9" i="19"/>
  <c r="ON8" i="19"/>
  <c r="OM11" i="19"/>
  <c r="OO4" i="19" l="1"/>
  <c r="OO10" i="19" s="1"/>
  <c r="OO9" i="19"/>
  <c r="OO8" i="19"/>
  <c r="ON11" i="19"/>
  <c r="OO11" i="19" l="1"/>
  <c r="OP9" i="19"/>
  <c r="OP8" i="19"/>
  <c r="OP4" i="19"/>
  <c r="OP10" i="19" s="1"/>
  <c r="OP11" i="19" l="1"/>
  <c r="OQ4" i="19"/>
  <c r="OQ10" i="19" s="1"/>
  <c r="OQ9" i="19"/>
  <c r="OQ8" i="19"/>
  <c r="OQ11" i="19" l="1"/>
  <c r="OR4" i="19"/>
  <c r="OR10" i="19" s="1"/>
  <c r="OR9" i="19"/>
  <c r="OR8" i="19"/>
  <c r="OR11" i="19" l="1"/>
  <c r="OS9" i="19"/>
  <c r="OS4" i="19"/>
  <c r="OS10" i="19" s="1"/>
  <c r="OS8" i="19"/>
  <c r="OS11" i="19" l="1"/>
  <c r="OT8" i="19"/>
  <c r="OT4" i="19"/>
  <c r="OT10" i="19" s="1"/>
  <c r="OT9" i="19"/>
  <c r="OU8" i="19" l="1"/>
  <c r="OU4" i="19"/>
  <c r="OU10" i="19" s="1"/>
  <c r="OU9" i="19"/>
  <c r="OT11" i="19"/>
  <c r="OV9" i="19" l="1"/>
  <c r="OV8" i="19"/>
  <c r="OV4" i="19"/>
  <c r="OV10" i="19" s="1"/>
  <c r="OU11" i="19"/>
  <c r="OW8" i="19" l="1"/>
  <c r="OW9" i="19"/>
  <c r="OW4" i="19"/>
  <c r="OW10" i="19" s="1"/>
  <c r="OV11" i="19"/>
  <c r="OW11" i="19" l="1"/>
  <c r="OX8" i="19"/>
  <c r="OX4" i="19"/>
  <c r="OX10" i="19" s="1"/>
  <c r="OX9" i="19"/>
  <c r="OX11" i="19" l="1"/>
  <c r="OY8" i="19"/>
  <c r="OY4" i="19"/>
  <c r="OY10" i="19" s="1"/>
  <c r="OY9" i="19"/>
  <c r="OZ8" i="19" l="1"/>
  <c r="OZ4" i="19"/>
  <c r="OZ10" i="19" s="1"/>
  <c r="OZ9" i="19"/>
  <c r="OY11" i="19"/>
  <c r="PA8" i="19" l="1"/>
  <c r="PA4" i="19"/>
  <c r="PA10" i="19" s="1"/>
  <c r="PA9" i="19"/>
  <c r="OZ11" i="19"/>
  <c r="PA11" i="19" l="1"/>
  <c r="PB8" i="19"/>
  <c r="PB4" i="19"/>
  <c r="PB10" i="19" s="1"/>
  <c r="PB9" i="19"/>
  <c r="PC9" i="19" l="1"/>
  <c r="PC4" i="19"/>
  <c r="PC10" i="19" s="1"/>
  <c r="PC8" i="19"/>
  <c r="PB11" i="19"/>
  <c r="PD8" i="19" l="1"/>
  <c r="PD4" i="19"/>
  <c r="PD10" i="19" s="1"/>
  <c r="PD9" i="19"/>
  <c r="PC11" i="19"/>
  <c r="PE9" i="19" l="1"/>
  <c r="PE8" i="19"/>
  <c r="PE4" i="19"/>
  <c r="PE10" i="19" s="1"/>
  <c r="PD11" i="19"/>
  <c r="PE11" i="19" l="1"/>
  <c r="PF8" i="19"/>
  <c r="PF4" i="19"/>
  <c r="PF10" i="19" s="1"/>
  <c r="PF9" i="19"/>
  <c r="PG8" i="19" l="1"/>
  <c r="PG9" i="19"/>
  <c r="PG4" i="19"/>
  <c r="PG10" i="19" s="1"/>
  <c r="PF11" i="19"/>
  <c r="PG11" i="19" l="1"/>
  <c r="PH4" i="19"/>
  <c r="PH10" i="19" s="1"/>
  <c r="PH9" i="19"/>
  <c r="PH8" i="19"/>
  <c r="PH11" i="19" l="1"/>
  <c r="LK4" i="19"/>
  <c r="LK9" i="19" s="1"/>
  <c r="LK8" i="19"/>
  <c r="LH8" i="19"/>
  <c r="JK10" i="19"/>
  <c r="JK4" i="19"/>
  <c r="JK8" i="19" s="1"/>
  <c r="JJ10" i="19"/>
  <c r="JJ4" i="19"/>
  <c r="JJ8" i="19" s="1"/>
  <c r="KM10" i="19"/>
  <c r="KM4" i="19"/>
  <c r="KM9" i="19" s="1"/>
  <c r="KZ4" i="19"/>
  <c r="KZ9" i="19" s="1"/>
  <c r="LA4" i="19"/>
  <c r="LA9" i="19" s="1"/>
  <c r="LJ8" i="19"/>
  <c r="HT9" i="19"/>
  <c r="HT4" i="19"/>
  <c r="HT8" i="19" s="1"/>
  <c r="HT10" i="19"/>
  <c r="KB10" i="19"/>
  <c r="KB4" i="19"/>
  <c r="KB9" i="19" s="1"/>
  <c r="JX10" i="19"/>
  <c r="JX4" i="19"/>
  <c r="JX9" i="19" s="1"/>
  <c r="JQ4" i="19"/>
  <c r="JQ8" i="19" s="1"/>
  <c r="JQ10" i="19"/>
  <c r="IV10" i="19"/>
  <c r="IV4" i="19"/>
  <c r="IV8" i="19" s="1"/>
  <c r="KP10" i="19"/>
  <c r="KP4" i="19"/>
  <c r="KP8" i="19" s="1"/>
  <c r="HP9" i="19"/>
  <c r="HP4" i="19"/>
  <c r="HP8" i="19" s="1"/>
  <c r="HP10" i="19"/>
  <c r="HU10" i="19"/>
  <c r="HU9" i="19"/>
  <c r="HU4" i="19"/>
  <c r="HU8" i="19" s="1"/>
  <c r="JL10" i="19"/>
  <c r="JL4" i="19"/>
  <c r="JL8" i="19" s="1"/>
  <c r="IM9" i="19"/>
  <c r="IM4" i="19"/>
  <c r="IM8" i="19" s="1"/>
  <c r="IM10" i="19"/>
  <c r="IF4" i="19"/>
  <c r="IF8" i="19" s="1"/>
  <c r="IF10" i="19"/>
  <c r="IF9" i="19"/>
  <c r="KD4" i="19"/>
  <c r="KD8" i="19" s="1"/>
  <c r="KD10" i="19"/>
  <c r="KU4" i="19"/>
  <c r="KU9" i="19" s="1"/>
  <c r="KU10" i="19"/>
  <c r="JM10" i="19"/>
  <c r="JM4" i="19"/>
  <c r="JM8" i="19" s="1"/>
  <c r="IR9" i="19"/>
  <c r="IR4" i="19"/>
  <c r="IR8" i="19" s="1"/>
  <c r="IR10" i="19"/>
  <c r="II4" i="19"/>
  <c r="II8" i="19" s="1"/>
  <c r="II10" i="19"/>
  <c r="JE10" i="19"/>
  <c r="JE4" i="19"/>
  <c r="JE8" i="19" s="1"/>
  <c r="KT10" i="19"/>
  <c r="KT4" i="19"/>
  <c r="KT8" i="19" s="1"/>
  <c r="IN4" i="19"/>
  <c r="IN8" i="19" s="1"/>
  <c r="IN10" i="19"/>
  <c r="IJ10" i="19"/>
  <c r="IJ4" i="19"/>
  <c r="IJ8" i="19" s="1"/>
  <c r="IA9" i="19"/>
  <c r="IA4" i="19"/>
  <c r="IA8" i="19" s="1"/>
  <c r="IA10" i="19"/>
  <c r="KC4" i="19"/>
  <c r="KC8" i="19" s="1"/>
  <c r="KC10" i="19"/>
  <c r="IG9" i="19"/>
  <c r="IG4" i="19"/>
  <c r="IG8" i="19" s="1"/>
  <c r="IG10" i="19"/>
  <c r="KL4" i="19"/>
  <c r="KL8" i="19" s="1"/>
  <c r="KL10" i="19"/>
  <c r="JF10" i="19"/>
  <c r="JF4" i="19"/>
  <c r="JF8" i="19" s="1"/>
  <c r="HW10" i="19"/>
  <c r="HW4" i="19"/>
  <c r="HW8" i="19" s="1"/>
  <c r="HW9" i="19"/>
  <c r="JO4" i="19"/>
  <c r="JO8" i="19" s="1"/>
  <c r="JO10" i="19"/>
  <c r="IH9" i="19"/>
  <c r="IH10" i="19"/>
  <c r="IH4" i="19"/>
  <c r="IH8" i="19" s="1"/>
  <c r="JY4" i="19"/>
  <c r="JY8" i="19" s="1"/>
  <c r="JY10" i="19"/>
  <c r="HY9" i="19"/>
  <c r="HY10" i="19"/>
  <c r="HY4" i="19"/>
  <c r="HY8" i="19" s="1"/>
  <c r="JW10" i="19"/>
  <c r="JW4" i="19"/>
  <c r="JW8" i="19" s="1"/>
  <c r="JZ4" i="19"/>
  <c r="JZ8" i="19" s="1"/>
  <c r="JZ10" i="19"/>
  <c r="LI4" i="19"/>
  <c r="LI9" i="19" s="1"/>
  <c r="JH10" i="19"/>
  <c r="JH4" i="19"/>
  <c r="JH8" i="19" s="1"/>
  <c r="JD4" i="19"/>
  <c r="JD8" i="19" s="1"/>
  <c r="JD10" i="19"/>
  <c r="IX10" i="19"/>
  <c r="IX4" i="19"/>
  <c r="IX8" i="19" s="1"/>
  <c r="JC4" i="19"/>
  <c r="JC8" i="19" s="1"/>
  <c r="JC10" i="19"/>
  <c r="KR10" i="19"/>
  <c r="KR4" i="19"/>
  <c r="KR8" i="19" s="1"/>
  <c r="KF10" i="19"/>
  <c r="KF4" i="19"/>
  <c r="KF8" i="19" s="1"/>
  <c r="IP4" i="19"/>
  <c r="IP8" i="19" s="1"/>
  <c r="IP10" i="19"/>
  <c r="HV4" i="19"/>
  <c r="HV8" i="19" s="1"/>
  <c r="HV10" i="19"/>
  <c r="HV9" i="19"/>
  <c r="JT10" i="19"/>
  <c r="JT4" i="19"/>
  <c r="JT8" i="19" s="1"/>
  <c r="HQ9" i="19"/>
  <c r="HQ10" i="19"/>
  <c r="HQ4" i="19"/>
  <c r="HQ8" i="19" s="1"/>
  <c r="ID4" i="19"/>
  <c r="ID8" i="19" s="1"/>
  <c r="ID9" i="19"/>
  <c r="ID10" i="19"/>
  <c r="KY4" i="19"/>
  <c r="KY9" i="19" s="1"/>
  <c r="JN10" i="19"/>
  <c r="JN4" i="19"/>
  <c r="JN8" i="19" s="1"/>
  <c r="HS10" i="19"/>
  <c r="HS9" i="19"/>
  <c r="HS4" i="19"/>
  <c r="HS8" i="19" s="1"/>
  <c r="LB4" i="19"/>
  <c r="LB9" i="19" s="1"/>
  <c r="IB9" i="19"/>
  <c r="IB4" i="19"/>
  <c r="IB8" i="19" s="1"/>
  <c r="IB10" i="19"/>
  <c r="JU4" i="19"/>
  <c r="JU8" i="19" s="1"/>
  <c r="JU10" i="19"/>
  <c r="KX4" i="19"/>
  <c r="KX8" i="19" s="1"/>
  <c r="IS4" i="19"/>
  <c r="IS8" i="19" s="1"/>
  <c r="IS9" i="19"/>
  <c r="IS10" i="19"/>
  <c r="KW4" i="19"/>
  <c r="KW8" i="19" s="1"/>
  <c r="LE4" i="19"/>
  <c r="LE9" i="19" s="1"/>
  <c r="KG10" i="19"/>
  <c r="KG4" i="19"/>
  <c r="KG8" i="19" s="1"/>
  <c r="KJ4" i="19"/>
  <c r="KJ8" i="19" s="1"/>
  <c r="KJ10" i="19"/>
  <c r="IZ10" i="19"/>
  <c r="IZ4" i="19"/>
  <c r="IZ8" i="19" s="1"/>
  <c r="IC10" i="19"/>
  <c r="IC9" i="19"/>
  <c r="IC4" i="19"/>
  <c r="IC8" i="19" s="1"/>
  <c r="JB10" i="19"/>
  <c r="JB4" i="19"/>
  <c r="JB8" i="19" s="1"/>
  <c r="KQ10" i="19"/>
  <c r="KQ4" i="19"/>
  <c r="KQ8" i="19" s="1"/>
  <c r="JS10" i="19"/>
  <c r="JS4" i="19"/>
  <c r="JS8" i="19" s="1"/>
  <c r="JR4" i="19"/>
  <c r="JR8" i="19" s="1"/>
  <c r="JR10" i="19"/>
  <c r="KS4" i="19"/>
  <c r="KS8" i="19" s="1"/>
  <c r="KS10" i="19"/>
  <c r="KN10" i="19"/>
  <c r="KN4" i="19"/>
  <c r="KN8" i="19" s="1"/>
  <c r="JA10" i="19"/>
  <c r="JA4" i="19"/>
  <c r="JA8" i="19" s="1"/>
  <c r="IE4" i="19"/>
  <c r="IE8" i="19" s="1"/>
  <c r="IE9" i="19"/>
  <c r="IE10" i="19"/>
  <c r="IQ9" i="19"/>
  <c r="IQ4" i="19"/>
  <c r="IQ8" i="19" s="1"/>
  <c r="IQ10" i="19"/>
  <c r="IT10" i="19"/>
  <c r="IT4" i="19"/>
  <c r="IT8" i="19" s="1"/>
  <c r="IT9" i="19"/>
  <c r="LJ4" i="19"/>
  <c r="LJ9" i="19" s="1"/>
  <c r="JI4" i="19"/>
  <c r="JI8" i="19" s="1"/>
  <c r="JI10" i="19"/>
  <c r="HX10" i="19"/>
  <c r="HX9" i="19"/>
  <c r="HX4" i="19"/>
  <c r="HX8" i="19" s="1"/>
  <c r="KK4" i="19"/>
  <c r="KK8" i="19" s="1"/>
  <c r="KK10" i="19"/>
  <c r="KE10" i="19"/>
  <c r="KE4" i="19"/>
  <c r="KE8" i="19" s="1"/>
  <c r="IU4" i="19"/>
  <c r="IU8" i="19" s="1"/>
  <c r="IU10" i="19"/>
  <c r="KO4" i="19"/>
  <c r="KO8" i="19" s="1"/>
  <c r="KO10" i="19"/>
  <c r="LC4" i="19"/>
  <c r="LC9" i="19" s="1"/>
  <c r="KI4" i="19"/>
  <c r="KI8" i="19" s="1"/>
  <c r="KI10" i="19"/>
  <c r="KV4" i="19"/>
  <c r="KV8" i="19" s="1"/>
  <c r="KV10" i="19"/>
  <c r="LF4" i="19"/>
  <c r="LF9" i="19" s="1"/>
  <c r="IL9" i="19"/>
  <c r="IL10" i="19"/>
  <c r="IL4" i="19"/>
  <c r="IL8" i="19" s="1"/>
  <c r="JV10" i="19"/>
  <c r="JV4" i="19"/>
  <c r="JV8" i="19" s="1"/>
  <c r="IO4" i="19"/>
  <c r="IO8" i="19" s="1"/>
  <c r="IO10" i="19"/>
  <c r="KH10" i="19"/>
  <c r="KH4" i="19"/>
  <c r="KH8" i="19" s="1"/>
  <c r="IW4" i="19"/>
  <c r="IW8" i="19" s="1"/>
  <c r="IW10" i="19"/>
  <c r="IK9" i="19"/>
  <c r="IK4" i="19"/>
  <c r="IK8" i="19" s="1"/>
  <c r="IK10" i="19"/>
  <c r="LD4" i="19"/>
  <c r="LD9" i="19" s="1"/>
  <c r="HR10" i="19"/>
  <c r="HR9" i="19"/>
  <c r="HR4" i="19"/>
  <c r="HR8" i="19" s="1"/>
  <c r="LG4" i="19"/>
  <c r="LG9" i="19" s="1"/>
  <c r="JP4" i="19"/>
  <c r="JP8" i="19" s="1"/>
  <c r="JP10" i="19"/>
  <c r="KA4" i="19"/>
  <c r="KA8" i="19" s="1"/>
  <c r="KA10" i="19"/>
  <c r="LI8" i="19"/>
  <c r="IY4" i="19"/>
  <c r="IY8" i="19" s="1"/>
  <c r="IY10" i="19"/>
  <c r="JG10" i="19"/>
  <c r="JG4" i="19"/>
  <c r="JG8" i="19" s="1"/>
  <c r="HZ9" i="19"/>
  <c r="HZ10" i="19"/>
  <c r="HZ4" i="19"/>
  <c r="HZ8" i="19" s="1"/>
  <c r="LH4" i="19"/>
  <c r="LH9" i="19" s="1"/>
  <c r="LA8" i="19" l="1"/>
  <c r="LE10" i="19"/>
  <c r="LF10" i="19"/>
  <c r="KY10" i="19"/>
  <c r="LH10" i="19"/>
  <c r="LH11" i="19" s="1"/>
  <c r="KZ10" i="19"/>
  <c r="LC10" i="19"/>
  <c r="KW10" i="19"/>
  <c r="LB10" i="19"/>
  <c r="LD10" i="19"/>
  <c r="KX10" i="19"/>
  <c r="LA10" i="19"/>
  <c r="LA11" i="19" s="1"/>
  <c r="KZ8" i="19"/>
  <c r="JX8" i="19"/>
  <c r="JX11" i="19" s="1"/>
  <c r="KU8" i="19"/>
  <c r="KU11" i="19" s="1"/>
  <c r="LK10" i="19"/>
  <c r="LK11" i="19" s="1"/>
  <c r="LG8" i="19"/>
  <c r="LG10" i="19"/>
  <c r="LI10" i="19"/>
  <c r="LI11" i="19" s="1"/>
  <c r="LJ10" i="19"/>
  <c r="LJ11" i="19" s="1"/>
  <c r="KB8" i="19"/>
  <c r="KB11" i="19" s="1"/>
  <c r="LB8" i="19"/>
  <c r="LB11" i="19" s="1"/>
  <c r="KM8" i="19"/>
  <c r="KM11" i="19" s="1"/>
  <c r="LF8" i="19"/>
  <c r="LF11" i="19" s="1"/>
  <c r="LE8" i="19"/>
  <c r="LC8" i="19"/>
  <c r="KY8" i="19"/>
  <c r="LD8" i="19"/>
  <c r="IX9" i="19"/>
  <c r="IX11" i="19" s="1"/>
  <c r="JD9" i="19"/>
  <c r="JD11" i="19" s="1"/>
  <c r="JJ9" i="19"/>
  <c r="JJ11" i="19" s="1"/>
  <c r="JL9" i="19"/>
  <c r="JL11" i="19" s="1"/>
  <c r="JC9" i="19"/>
  <c r="JC11" i="19" s="1"/>
  <c r="JE9" i="19"/>
  <c r="JE11" i="19" s="1"/>
  <c r="JA9" i="19"/>
  <c r="JA11" i="19" s="1"/>
  <c r="IN9" i="19"/>
  <c r="IN11" i="19" s="1"/>
  <c r="IW9" i="19"/>
  <c r="IW11" i="19" s="1"/>
  <c r="IU9" i="19"/>
  <c r="IU11" i="19" s="1"/>
  <c r="IV9" i="19"/>
  <c r="IV11" i="19" s="1"/>
  <c r="JG9" i="19"/>
  <c r="JG11" i="19" s="1"/>
  <c r="JB9" i="19"/>
  <c r="JB11" i="19" s="1"/>
  <c r="IP9" i="19"/>
  <c r="IP11" i="19" s="1"/>
  <c r="JK9" i="19"/>
  <c r="JK11" i="19" s="1"/>
  <c r="IY9" i="19"/>
  <c r="IY11" i="19" s="1"/>
  <c r="IO9" i="19"/>
  <c r="IO11" i="19" s="1"/>
  <c r="JH9" i="19"/>
  <c r="JH11" i="19" s="1"/>
  <c r="JF9" i="19"/>
  <c r="JF11" i="19" s="1"/>
  <c r="IJ9" i="19"/>
  <c r="IJ11" i="19" s="1"/>
  <c r="II9" i="19"/>
  <c r="II11" i="19" s="1"/>
  <c r="IZ9" i="19"/>
  <c r="IZ11" i="19" s="1"/>
  <c r="JP9" i="19"/>
  <c r="JP11" i="19" s="1"/>
  <c r="JO9" i="19"/>
  <c r="JO11" i="19" s="1"/>
  <c r="IF11" i="19"/>
  <c r="JM9" i="19"/>
  <c r="JM11" i="19" s="1"/>
  <c r="JZ9" i="19"/>
  <c r="JZ11" i="19" s="1"/>
  <c r="KC9" i="19"/>
  <c r="KC11" i="19" s="1"/>
  <c r="JU9" i="19"/>
  <c r="JU11" i="19" s="1"/>
  <c r="JT9" i="19"/>
  <c r="JT11" i="19" s="1"/>
  <c r="JR9" i="19"/>
  <c r="JR11" i="19" s="1"/>
  <c r="KD9" i="19"/>
  <c r="KD11" i="19" s="1"/>
  <c r="JV9" i="19"/>
  <c r="JV11" i="19" s="1"/>
  <c r="JN9" i="19"/>
  <c r="JN11" i="19" s="1"/>
  <c r="JQ9" i="19"/>
  <c r="JQ11" i="19" s="1"/>
  <c r="JS9" i="19"/>
  <c r="JS11" i="19" s="1"/>
  <c r="JI9" i="19"/>
  <c r="JI11" i="19" s="1"/>
  <c r="KH9" i="19"/>
  <c r="KH11" i="19" s="1"/>
  <c r="IB11" i="19"/>
  <c r="KF9" i="19"/>
  <c r="KF11" i="19" s="1"/>
  <c r="KT9" i="19"/>
  <c r="KT11" i="19" s="1"/>
  <c r="KI9" i="19"/>
  <c r="KI11" i="19" s="1"/>
  <c r="KA9" i="19"/>
  <c r="KA11" i="19" s="1"/>
  <c r="KW9" i="19"/>
  <c r="KW11" i="19" s="1"/>
  <c r="HQ11" i="19"/>
  <c r="KJ9" i="19"/>
  <c r="KJ11" i="19" s="1"/>
  <c r="JY9" i="19"/>
  <c r="JY11" i="19" s="1"/>
  <c r="JW9" i="19"/>
  <c r="JW11" i="19" s="1"/>
  <c r="KE9" i="19"/>
  <c r="KE11" i="19" s="1"/>
  <c r="KG9" i="19"/>
  <c r="KG11" i="19" s="1"/>
  <c r="KK9" i="19"/>
  <c r="KK11" i="19" s="1"/>
  <c r="HT11" i="19"/>
  <c r="IA11" i="19"/>
  <c r="KO9" i="19"/>
  <c r="KO11" i="19" s="1"/>
  <c r="KL9" i="19"/>
  <c r="KL11" i="19" s="1"/>
  <c r="IC11" i="19"/>
  <c r="KR9" i="19"/>
  <c r="KR11" i="19" s="1"/>
  <c r="KP9" i="19"/>
  <c r="KP11" i="19" s="1"/>
  <c r="KN9" i="19"/>
  <c r="KN11" i="19" s="1"/>
  <c r="KQ9" i="19"/>
  <c r="KQ11" i="19" s="1"/>
  <c r="HS11" i="19"/>
  <c r="KV9" i="19"/>
  <c r="KV11" i="19" s="1"/>
  <c r="KS9" i="19"/>
  <c r="KS11" i="19" s="1"/>
  <c r="KX9" i="19"/>
  <c r="IR11" i="19"/>
  <c r="HY11" i="19"/>
  <c r="HU11" i="19"/>
  <c r="HW11" i="19"/>
  <c r="ID11" i="19"/>
  <c r="IM11" i="19"/>
  <c r="IH11" i="19"/>
  <c r="IG11" i="19"/>
  <c r="IK11" i="19"/>
  <c r="IL11" i="19"/>
  <c r="IE11" i="19"/>
  <c r="HR11" i="19"/>
  <c r="HZ11" i="19"/>
  <c r="IT11" i="19"/>
  <c r="IS11" i="19"/>
  <c r="HV11" i="19"/>
  <c r="HX11" i="19"/>
  <c r="IQ11" i="19"/>
  <c r="HP11" i="19"/>
  <c r="LG11" i="19"/>
  <c r="LE11" i="19" l="1"/>
  <c r="KZ11" i="19"/>
  <c r="KY11" i="19"/>
  <c r="LC11" i="19"/>
  <c r="KX11" i="19"/>
  <c r="LD11" i="19"/>
  <c r="D102" i="27"/>
  <c r="D43" i="27"/>
  <c r="D73" i="27"/>
  <c r="D90" i="27"/>
  <c r="D12" i="27"/>
  <c r="D76" i="27"/>
  <c r="D34" i="27"/>
  <c r="D86" i="27"/>
  <c r="D22" i="27"/>
  <c r="D33" i="27"/>
  <c r="D55" i="27"/>
  <c r="D72" i="27"/>
  <c r="D58" i="27"/>
  <c r="D31" i="27"/>
  <c r="D49" i="27"/>
  <c r="D71" i="27"/>
  <c r="D74" i="27"/>
  <c r="D21" i="27"/>
  <c r="D68" i="27"/>
  <c r="D85" i="27"/>
  <c r="D88" i="27"/>
  <c r="D94" i="27"/>
  <c r="D82" i="27"/>
  <c r="D77" i="27"/>
  <c r="D41" i="27"/>
  <c r="D78" i="27"/>
  <c r="D52" i="27"/>
  <c r="D19" i="27"/>
  <c r="D17" i="27"/>
  <c r="D25" i="27"/>
  <c r="D54" i="27"/>
  <c r="D35" i="27"/>
  <c r="D40" i="27"/>
  <c r="D57" i="27"/>
  <c r="D50" i="27"/>
  <c r="D80" i="27"/>
  <c r="D13" i="27"/>
  <c r="D30" i="27"/>
  <c r="D28" i="27"/>
  <c r="D56" i="27"/>
  <c r="D26" i="27"/>
  <c r="D65" i="27"/>
  <c r="D69" i="27"/>
  <c r="D87" i="27"/>
  <c r="D103" i="27"/>
  <c r="D46" i="27"/>
  <c r="D29" i="27"/>
  <c r="D75" i="27"/>
  <c r="D24" i="27"/>
  <c r="D70" i="27"/>
  <c r="D84" i="27"/>
  <c r="D101" i="27"/>
  <c r="D16" i="27"/>
  <c r="D37" i="27"/>
  <c r="D98" i="27"/>
  <c r="D99" i="27"/>
  <c r="D42" i="27"/>
  <c r="D48" i="27"/>
  <c r="D18" i="27"/>
  <c r="D81" i="27"/>
  <c r="D104" i="27"/>
  <c r="D63" i="27"/>
  <c r="D83" i="27"/>
  <c r="D93" i="27"/>
  <c r="D36" i="27"/>
  <c r="D89" i="27"/>
  <c r="D44" i="27"/>
  <c r="D95" i="27"/>
  <c r="D39" i="27"/>
  <c r="D59" i="27"/>
  <c r="D92" i="27"/>
  <c r="D66" i="27"/>
  <c r="D60" i="27"/>
  <c r="D51" i="27"/>
  <c r="D96" i="27"/>
  <c r="D62" i="27"/>
  <c r="D53" i="27"/>
  <c r="D27" i="27"/>
  <c r="D38" i="27"/>
  <c r="D91" i="27"/>
  <c r="D14" i="27"/>
  <c r="D79" i="27"/>
  <c r="D45" i="27"/>
  <c r="D67" i="27"/>
  <c r="D64" i="27"/>
  <c r="D97" i="27"/>
  <c r="D32" i="27"/>
  <c r="D61" i="27"/>
  <c r="D100" i="27"/>
  <c r="D47" i="27"/>
  <c r="D15" i="27"/>
  <c r="D23" i="27"/>
  <c r="D20" i="27"/>
  <c r="D109" i="27"/>
  <c r="D112" i="27"/>
  <c r="D111" i="27"/>
  <c r="D107" i="27"/>
  <c r="D110" i="27"/>
  <c r="D106" i="27"/>
  <c r="D108" i="27"/>
  <c r="D105" i="27"/>
  <c r="C39" i="5"/>
  <c r="P7" i="27"/>
  <c r="B38" i="5"/>
  <c r="E39" i="5"/>
  <c r="C38" i="5"/>
  <c r="D39" i="5"/>
  <c r="E38" i="5"/>
  <c r="D113" i="27"/>
  <c r="B39" i="5"/>
  <c r="D38" i="5" l="1"/>
  <c r="T8" i="27"/>
  <c r="T9" i="27"/>
  <c r="T7" i="27"/>
  <c r="P9" i="27"/>
  <c r="P8" i="27"/>
  <c r="L8" i="27"/>
  <c r="C37" i="5"/>
  <c r="C13" i="18" s="1"/>
  <c r="E37" i="5"/>
  <c r="D11" i="27"/>
  <c r="L7" i="27"/>
  <c r="L9" i="27" l="1"/>
  <c r="D37" i="5"/>
  <c r="C12" i="18" s="1"/>
  <c r="B37" i="5"/>
  <c r="C11" i="18" s="1"/>
  <c r="C14" i="18" l="1"/>
  <c r="C19" i="18"/>
  <c r="C16" i="18"/>
  <c r="C46" i="18"/>
  <c r="C15" i="18"/>
  <c r="C25" i="18" l="1"/>
  <c r="B25" i="18" s="1"/>
  <c r="C22" i="18"/>
  <c r="D22" i="18" s="1"/>
  <c r="C23" i="18"/>
  <c r="D23" i="18" s="1"/>
  <c r="B68" i="18"/>
  <c r="B67" i="18" s="1"/>
  <c r="D25" i="18" l="1"/>
  <c r="B23" i="18"/>
  <c r="B22" i="18"/>
  <c r="C68" i="18"/>
  <c r="B66" i="18"/>
  <c r="B65" i="18" s="1"/>
  <c r="C67" i="18"/>
  <c r="B69" i="18"/>
  <c r="C66" i="18" l="1"/>
  <c r="B70" i="18"/>
  <c r="C69" i="18"/>
  <c r="B64" i="18"/>
  <c r="C65" i="18"/>
  <c r="C70" i="18" l="1"/>
  <c r="B71" i="18"/>
  <c r="C64" i="18"/>
  <c r="B63" i="18"/>
  <c r="C71" i="18" l="1"/>
  <c r="B72" i="18"/>
  <c r="C63" i="18"/>
  <c r="B62" i="18"/>
  <c r="B73" i="18" l="1"/>
  <c r="C72" i="18"/>
  <c r="C62" i="18"/>
  <c r="B61" i="18"/>
  <c r="C73" i="18" l="1"/>
  <c r="B74" i="18"/>
  <c r="B60" i="18"/>
  <c r="C61" i="18"/>
  <c r="C74" i="18" l="1"/>
  <c r="B75" i="18"/>
  <c r="B59" i="18"/>
  <c r="C60" i="18"/>
  <c r="B76" i="18" l="1"/>
  <c r="C75" i="18"/>
  <c r="C59" i="18"/>
  <c r="B58" i="18"/>
  <c r="B77" i="18" l="1"/>
  <c r="C76" i="18"/>
  <c r="C58" i="18"/>
  <c r="B57" i="18"/>
  <c r="C77" i="18" l="1"/>
  <c r="B78" i="18"/>
  <c r="B56" i="18"/>
  <c r="C57" i="18"/>
  <c r="C78" i="18" l="1"/>
  <c r="B79" i="18"/>
  <c r="C56" i="18"/>
  <c r="B55" i="18"/>
  <c r="B80" i="18" l="1"/>
  <c r="C79" i="18"/>
  <c r="C55" i="18"/>
  <c r="B54" i="18"/>
  <c r="B81" i="18" l="1"/>
  <c r="C80" i="18"/>
  <c r="C54" i="18"/>
  <c r="B53" i="18"/>
  <c r="C81" i="18" l="1"/>
  <c r="B82" i="18"/>
  <c r="B52" i="18"/>
  <c r="C53" i="18"/>
  <c r="B83" i="18" l="1"/>
  <c r="C82" i="18"/>
  <c r="C52" i="18"/>
  <c r="B51" i="18"/>
  <c r="C83" i="18" l="1"/>
  <c r="B84" i="18"/>
  <c r="B50" i="18"/>
  <c r="C51" i="18"/>
  <c r="C84" i="18" l="1"/>
  <c r="B85" i="18"/>
  <c r="B49" i="18"/>
  <c r="C50" i="18"/>
  <c r="C85" i="18" l="1"/>
  <c r="B86" i="18"/>
  <c r="C49" i="18"/>
  <c r="B48" i="18"/>
  <c r="C48" i="18" s="1"/>
  <c r="C86" i="18" l="1"/>
  <c r="B87" i="18"/>
  <c r="C87" i="18" l="1"/>
  <c r="B88" i="18"/>
  <c r="B89" i="18" l="1"/>
  <c r="C88" i="18"/>
  <c r="C89" i="18" l="1"/>
  <c r="B90" i="18"/>
  <c r="C90" i="18" l="1"/>
  <c r="B91" i="18"/>
  <c r="C91" i="18" l="1"/>
  <c r="B92" i="18"/>
  <c r="C92" i="18" l="1"/>
  <c r="B93" i="18"/>
  <c r="B94" i="18" l="1"/>
  <c r="C93" i="18"/>
  <c r="B95" i="18" l="1"/>
  <c r="C94" i="18"/>
  <c r="B96" i="18" l="1"/>
  <c r="C95" i="18"/>
  <c r="C96" i="18" l="1"/>
  <c r="B97" i="18"/>
  <c r="C97" i="18" l="1"/>
  <c r="B98" i="18"/>
  <c r="C98" i="18" l="1"/>
  <c r="B99" i="18"/>
  <c r="B100" i="18" l="1"/>
  <c r="C99" i="18"/>
  <c r="B101" i="18" l="1"/>
  <c r="C100" i="18"/>
  <c r="C101" i="18" l="1"/>
  <c r="B102" i="18"/>
  <c r="C102" i="18" l="1"/>
  <c r="B103" i="18"/>
  <c r="B104" i="18" l="1"/>
  <c r="C103" i="18"/>
  <c r="C104" i="18" l="1"/>
  <c r="B105" i="18"/>
  <c r="C105" i="18" l="1"/>
  <c r="B106" i="18"/>
  <c r="C106" i="18" l="1"/>
  <c r="B107" i="18"/>
  <c r="C107" i="18" l="1"/>
  <c r="B108" i="18"/>
  <c r="C108" i="18" l="1"/>
  <c r="B109" i="18"/>
  <c r="C109" i="18" l="1"/>
  <c r="B110" i="18"/>
  <c r="B111" i="18" l="1"/>
  <c r="C110" i="18"/>
  <c r="B112" i="18" l="1"/>
  <c r="C111" i="18"/>
  <c r="C112" i="18" l="1"/>
  <c r="B113" i="18"/>
  <c r="B114" i="18" l="1"/>
  <c r="C113" i="18"/>
  <c r="B115" i="18" l="1"/>
  <c r="C114" i="18"/>
  <c r="C115" i="18" l="1"/>
  <c r="B116" i="18"/>
  <c r="C116" i="18" l="1"/>
  <c r="B117" i="18"/>
  <c r="B118" i="18" l="1"/>
  <c r="C117" i="18"/>
  <c r="B119" i="18" l="1"/>
  <c r="C118" i="18"/>
  <c r="C119" i="18" l="1"/>
  <c r="B120" i="18"/>
  <c r="B121" i="18" l="1"/>
  <c r="C120" i="18"/>
  <c r="C121" i="18" l="1"/>
  <c r="B122" i="18"/>
  <c r="C122" i="18" l="1"/>
  <c r="B123" i="18"/>
  <c r="B124" i="18" l="1"/>
  <c r="C123" i="18"/>
  <c r="C124" i="18" l="1"/>
  <c r="B125" i="18"/>
  <c r="C125" i="18" l="1"/>
  <c r="B126" i="18"/>
  <c r="B127" i="18" l="1"/>
  <c r="C126" i="18"/>
  <c r="B128" i="18" l="1"/>
  <c r="C127" i="18"/>
  <c r="C128" i="18" l="1"/>
  <c r="B129" i="18"/>
  <c r="B130" i="18" l="1"/>
  <c r="C129" i="18"/>
  <c r="B131" i="18" l="1"/>
  <c r="C130" i="18"/>
  <c r="C131" i="18" l="1"/>
  <c r="B132" i="18"/>
  <c r="B133" i="18" l="1"/>
  <c r="C132" i="18"/>
  <c r="B134" i="18" l="1"/>
  <c r="C133" i="18"/>
  <c r="C134" i="18" l="1"/>
  <c r="B135" i="18"/>
  <c r="B136" i="18" l="1"/>
  <c r="C135" i="18"/>
  <c r="B137" i="18" l="1"/>
  <c r="C136" i="18"/>
  <c r="B138" i="18" l="1"/>
  <c r="C137" i="18"/>
  <c r="C138" i="18" l="1"/>
  <c r="B139" i="18"/>
  <c r="B140" i="18" l="1"/>
  <c r="C139" i="18"/>
  <c r="C140" i="18" l="1"/>
  <c r="B141" i="18"/>
  <c r="C141" i="18" l="1"/>
  <c r="B142" i="18"/>
  <c r="B143" i="18" l="1"/>
  <c r="C142" i="18"/>
  <c r="C143" i="18" l="1"/>
  <c r="B144" i="18"/>
  <c r="B145" i="18" l="1"/>
  <c r="C144" i="18"/>
  <c r="C145" i="18" l="1"/>
  <c r="B146" i="18"/>
  <c r="C146" i="18" l="1"/>
  <c r="B147" i="18"/>
  <c r="C147" i="18" l="1"/>
  <c r="B148" i="18"/>
  <c r="C148" i="1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William Davis</author>
    <author>William</author>
  </authors>
  <commentList>
    <comment ref="M2" authorId="0" shapeId="0" xr:uid="{DA836802-825B-48FB-B4CF-10EF51BA685F}">
      <text>
        <r>
          <rPr>
            <sz val="9"/>
            <color indexed="81"/>
            <rFont val="Tahoma"/>
            <family val="2"/>
          </rPr>
          <t>You may optionally enter a planning estimate for each uncertainty you enter, and see its cumulative probability result in the 'SPERT Probability' column.  
The cumulative probability is the likelihood your planning estimate will be EQUAL TO or GREATER THAN the uncertainty you are estimating.  
Choosing a larger planning estimate will increase the cumulative probability, and choosing a smaller planning estimate will decrease the cumulative probability.</t>
        </r>
      </text>
    </comment>
    <comment ref="N2" authorId="0" shapeId="0" xr:uid="{DF0AA814-9D30-4FA2-B1A5-5491CEA5EA4F}">
      <text>
        <r>
          <rPr>
            <sz val="9"/>
            <color indexed="81"/>
            <rFont val="Tahoma"/>
            <family val="2"/>
          </rPr>
          <t>The SPERT Probability shows the cumulative probability of each Planning Estimate you entered in column M.  
If you select 'Show Left-Side Area' in cell K1, this column shows the likelihood that your Planning Estimate will be EQUAL TO or GREATER THAN the uncertainty you are estimating.  
If you select 'Show Right-Side Area' in cell M1, this column shows the likelihood that the uncertainty will EXCEED your Planning Estimate in column M.</t>
        </r>
      </text>
    </comment>
    <comment ref="B3" authorId="0" shapeId="0" xr:uid="{4193D883-CFBD-4C04-8DAD-EF2A0663C735}">
      <text>
        <r>
          <rPr>
            <sz val="9"/>
            <color indexed="81"/>
            <rFont val="Tahoma"/>
            <family val="2"/>
          </rPr>
          <t>The Minimum point-estimate represents the smallest value that is feasible, but highly improbable.</t>
        </r>
      </text>
    </comment>
    <comment ref="C3" authorId="0" shapeId="0" xr:uid="{79D5DD9C-08E0-4839-AE67-B7CC528E968B}">
      <text>
        <r>
          <rPr>
            <sz val="9"/>
            <color indexed="81"/>
            <rFont val="Tahoma"/>
            <family val="2"/>
          </rPr>
          <t>The Most Likely point-estimate represents the value you believe will most likely occur for each uncertainty, although many other possible outcomes exist between the Minimum and Maximum point-estimates.</t>
        </r>
      </text>
    </comment>
    <comment ref="D3" authorId="0" shapeId="0" xr:uid="{53850FEB-83E3-49AB-9708-B856CE9BECB7}">
      <text>
        <r>
          <rPr>
            <sz val="9"/>
            <color indexed="81"/>
            <rFont val="Tahoma"/>
            <family val="2"/>
          </rPr>
          <t>The Maximum point-estimate represents the largest value that is feasible, but highly improbable</t>
        </r>
      </text>
    </comment>
    <comment ref="E3" authorId="0" shapeId="0" xr:uid="{08FC7CC7-BBAF-4B7C-A27A-727859E1E662}">
      <text>
        <r>
          <rPr>
            <sz val="9"/>
            <color indexed="81"/>
            <rFont val="Tahoma"/>
            <family val="2"/>
          </rPr>
          <t>This checks that a proper 3-point estimate was entered:
Minimum value must be &gt; 0 and &lt; Most Likely
Most Likely must be &gt; Minimum and &lt; Maximum Maximum must be &gt; Most Likely</t>
        </r>
      </text>
    </comment>
    <comment ref="F3" authorId="0" shapeId="0" xr:uid="{29F2D42B-4DA6-4CD1-9669-E2862ADBD9AF}">
      <text>
        <r>
          <rPr>
            <sz val="9"/>
            <color indexed="81"/>
            <rFont val="Tahoma"/>
            <family val="2"/>
          </rPr>
          <t>This checks that the task has a bell-shaped appearance (even though it may be skewed).
When the range between the Minimum and Most Likely is no more than 3x greater than the range between the Maximum and Most Likely, the light is green (and vice versa).
When the range between the Minimum and Most Likely is no more than 5x greater than the range between the Maximum and Most Likely, the light is yellow (and vice versa).  Using the SPERT® Normal Edition may not be ideal for such a skewed uncertainty.
When the range difference is more than 5x greater, the light is red.  Using the SPERT® Normal Edition is not recommended for this uncertainty.  Use the SPERT® Beta Edition instead.</t>
        </r>
      </text>
    </comment>
    <comment ref="G3" authorId="0" shapeId="0" xr:uid="{7A667D89-6813-45B1-805D-E699E5F72C03}">
      <text>
        <r>
          <rPr>
            <sz val="9"/>
            <color indexed="81"/>
            <rFont val="Tahoma"/>
            <family val="2"/>
          </rPr>
          <t>The PERT Mean is calcuated using the PERT formula:
(Min+(4*Most Likely)+Max)/6
On a perfectly normal distribution (no skewing), the mean will also be the Most Likely outcome (the mode) and the median (50th percentile).</t>
        </r>
      </text>
    </comment>
    <comment ref="H3" authorId="0" shapeId="0" xr:uid="{E97947B1-33F0-4E6A-B67B-64122583F18E}">
      <text>
        <r>
          <rPr>
            <sz val="9"/>
            <color indexed="81"/>
            <rFont val="Tahoma"/>
            <family val="2"/>
          </rPr>
          <t>The shape of the bell-curve is heavily influenced by how confident you believe the Most Likely outcome will occur relative to other, possible outcomes between the Minimum and Maximum point-estimates.  
When you are more confident in the Most Likely outcome, the bell-curve grows taller, and there is a shrinking likelihood of other occurrences near the Minimum and Maximum point-estimates.  
Conversely, when you are less confident in the Most Likely outcome, the bell-curve grows flatter, and there is a rising likelihood of other occurrences near the Minimum and Maximum point-estimates.
(You can add to, remove, or modify the dropdown control options using the VLookups worksheet).</t>
        </r>
      </text>
    </comment>
    <comment ref="I3" authorId="0" shapeId="0" xr:uid="{F7E9FBE5-1AE4-445D-9B91-2579070EB440}">
      <text>
        <r>
          <rPr>
            <sz val="9"/>
            <color indexed="81"/>
            <rFont val="Tahoma"/>
            <family val="2"/>
          </rPr>
          <t>SPERT builds an implied, bell-shaped curve to represent the risk characteristics for your uncertainty.  The flatter, wider the bell-curve curve is, the more uncertain the outcomes are over the feasible region.
If the bell-curve's vertical rise is steep, though, your uncertainty has much less volatility near the most likely outcome.
If the bell-curve is centered, it perfectly fits a normal distribution.
If the bell-curve is off-center, then a normal distribution is less fitting of your uncertainty's risk properties (but using the normal distribution may be "good enough" as long as the traffic light indicator is green or yellow.</t>
        </r>
      </text>
    </comment>
    <comment ref="J3" authorId="0" shapeId="0" xr:uid="{996743AC-F0CA-4909-BC06-58682148BB50}">
      <text>
        <r>
          <rPr>
            <sz val="9"/>
            <color indexed="81"/>
            <rFont val="Tahoma"/>
            <family val="2"/>
          </rPr>
          <t>If you have historical data, you can calculate the true standard deviation for your historical data by using either STDEV.P (standard deviation of a population) or STDEV.S (standard deviation of a sample).  In most instances, STDEV.P would be appropriate unless you are only sampling a portion of a larger dataset.  
If you enter a value under "Your SD", it will override the SPERT-calculated standard deviation in column K.</t>
        </r>
      </text>
    </comment>
    <comment ref="K3" authorId="0" shapeId="0" xr:uid="{E7186C81-B973-4DD7-BC22-68A3BB9D3762}">
      <text>
        <r>
          <rPr>
            <sz val="9"/>
            <color indexed="81"/>
            <rFont val="Tahoma"/>
            <family val="2"/>
          </rPr>
          <t>The SPERT Standard Deviation (SD) is calculated using this formula:
SPERT SD = (Max - Min) * RSM
where RSM is the Ratio Scale Multiplier associated with the Most Likely Confidence selection in column H.  
RSMs are associated with Most Likely Confidence choices in the VLookups worksheet.
Excel's normal distribution functions, NORM.DIST and NORM.INV use the SPERT Standard Deviation as one of the input arguments.</t>
        </r>
      </text>
    </comment>
    <comment ref="O3" authorId="0" shapeId="0" xr:uid="{C67143E6-0572-4763-94FA-7AEF4F3D348B}">
      <text>
        <r>
          <rPr>
            <sz val="9"/>
            <color indexed="81"/>
            <rFont val="Tahoma"/>
            <family val="2"/>
          </rPr>
          <t>You can choose different probabilities by entering a value between 1% and 99%.</t>
        </r>
      </text>
    </comment>
    <comment ref="B4" authorId="1" shapeId="0" xr:uid="{07D9559A-548E-4D06-9881-1AF33EC08C1E}">
      <text>
        <r>
          <rPr>
            <b/>
            <sz val="9"/>
            <color indexed="81"/>
            <rFont val="Tahoma"/>
            <charset val="1"/>
          </rPr>
          <t>William:</t>
        </r>
        <r>
          <rPr>
            <sz val="9"/>
            <color indexed="81"/>
            <rFont val="Tahoma"/>
            <charset val="1"/>
          </rPr>
          <t xml:space="preserve">
The historical minimum over all the data is 74. I made this minimum 10 days earlier than the available history.</t>
        </r>
      </text>
    </comment>
    <comment ref="D4" authorId="1" shapeId="0" xr:uid="{73CDEA05-4D26-4D63-BB35-98A048FC8301}">
      <text>
        <r>
          <rPr>
            <b/>
            <sz val="9"/>
            <color indexed="81"/>
            <rFont val="Tahoma"/>
            <charset val="1"/>
          </rPr>
          <t>William:</t>
        </r>
        <r>
          <rPr>
            <sz val="9"/>
            <color indexed="81"/>
            <rFont val="Tahoma"/>
            <charset val="1"/>
          </rPr>
          <t xml:space="preserve">
The historical minimum over all the data is 108. I made this minimum 10 days later than the available history.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William Davis</author>
    <author>William</author>
  </authors>
  <commentList>
    <comment ref="M2" authorId="0" shapeId="0" xr:uid="{DE587359-E325-481D-B934-43ED5C3ED2EE}">
      <text>
        <r>
          <rPr>
            <sz val="9"/>
            <color indexed="81"/>
            <rFont val="Tahoma"/>
            <family val="2"/>
          </rPr>
          <t>You may optionally enter a planning estimate for each uncertainty you enter, and see its cumulative probability result in the 'SPERT Probability' column.  
The cumulative probability is the likelihood your planning estimate will be EQUAL TO or GREATER THAN the uncertainty you are estimating.  
Choosing a larger planning estimate will increase the cumulative probability, and choosing a smaller planning estimate will decrease the cumulative probability.</t>
        </r>
      </text>
    </comment>
    <comment ref="N2" authorId="0" shapeId="0" xr:uid="{787565AF-7542-479D-AD2B-20195806BD92}">
      <text>
        <r>
          <rPr>
            <sz val="9"/>
            <color indexed="81"/>
            <rFont val="Tahoma"/>
            <family val="2"/>
          </rPr>
          <t>The SPERT Probability shows the cumulative probability of each Planning Estimate you entered in column M.  
If you select 'Show Left-Side Area' in cell K1, this column shows the likelihood that your Planning Estimate will be EQUAL TO or GREATER THAN the uncertainty you are estimating.  
If you select 'Show Right-Side Area' in cell M1, this column shows the likelihood that the uncertainty will EXCEED your Planning Estimate in column M.</t>
        </r>
      </text>
    </comment>
    <comment ref="B3" authorId="0" shapeId="0" xr:uid="{8ADF864C-B664-48BC-846B-0E6460F49971}">
      <text>
        <r>
          <rPr>
            <sz val="9"/>
            <color indexed="81"/>
            <rFont val="Tahoma"/>
            <family val="2"/>
          </rPr>
          <t>The Minimum point-estimate represents the smallest value that is feasible, but highly improbable.</t>
        </r>
      </text>
    </comment>
    <comment ref="C3" authorId="0" shapeId="0" xr:uid="{EBDF80D3-233E-41AA-A985-FD472F462575}">
      <text>
        <r>
          <rPr>
            <sz val="9"/>
            <color indexed="81"/>
            <rFont val="Tahoma"/>
            <family val="2"/>
          </rPr>
          <t>The Most Likely point-estimate represents the value you believe will most likely occur for each uncertainty, although many other possible outcomes exist between the Minimum and Maximum point-estimates.</t>
        </r>
      </text>
    </comment>
    <comment ref="D3" authorId="0" shapeId="0" xr:uid="{8FDE9AC5-A003-4D4A-94BF-5CF532BE6981}">
      <text>
        <r>
          <rPr>
            <sz val="9"/>
            <color indexed="81"/>
            <rFont val="Tahoma"/>
            <family val="2"/>
          </rPr>
          <t>The Maximum point-estimate represents the largest value that is feasible, but highly improbable</t>
        </r>
      </text>
    </comment>
    <comment ref="E3" authorId="0" shapeId="0" xr:uid="{D1023EDA-87FF-41F2-9A16-4DAAB07CD046}">
      <text>
        <r>
          <rPr>
            <sz val="9"/>
            <color indexed="81"/>
            <rFont val="Tahoma"/>
            <family val="2"/>
          </rPr>
          <t>This checks that a proper 3-point estimate was entered:
Minimum value must be &gt; 0 and &lt; Most Likely
Most Likely must be &gt; Minimum and &lt; Maximum Maximum must be &gt; Most Likely</t>
        </r>
      </text>
    </comment>
    <comment ref="F3" authorId="0" shapeId="0" xr:uid="{8804805C-9E0E-4FC4-B7AF-54C7D818DE72}">
      <text>
        <r>
          <rPr>
            <sz val="9"/>
            <color indexed="81"/>
            <rFont val="Tahoma"/>
            <family val="2"/>
          </rPr>
          <t>This checks that the task has a bell-shaped appearance (even though it may be skewed).
When the range between the Minimum and Most Likely is no more than 3x greater than the range between the Maximum and Most Likely, the light is green (and vice versa).
When the range between the Minimum and Most Likely is no more than 5x greater than the range between the Maximum and Most Likely, the light is yellow (and vice versa).  Using the SPERT® Normal Edition may not be ideal for such a skewed uncertainty.
When the range difference is more than 5x greater, the light is red.  Using the SPERT® Normal Edition is not recommended for this uncertainty.  Use the SPERT® Beta Edition instead.</t>
        </r>
      </text>
    </comment>
    <comment ref="G3" authorId="0" shapeId="0" xr:uid="{A6272B3C-30D5-4BC5-B556-9D3F8CB34D2A}">
      <text>
        <r>
          <rPr>
            <sz val="9"/>
            <color indexed="81"/>
            <rFont val="Tahoma"/>
            <family val="2"/>
          </rPr>
          <t>The PERT Mean is calcuated using the PERT formula:
(Min+(4*Most Likely)+Max)/6
On a perfectly normal distribution (no skewing), the mean will also be the Most Likely outcome (the mode) and the median (50th percentile).</t>
        </r>
      </text>
    </comment>
    <comment ref="H3" authorId="0" shapeId="0" xr:uid="{DB85838A-3C61-4FA8-A76C-33C5940AE48A}">
      <text>
        <r>
          <rPr>
            <sz val="9"/>
            <color indexed="81"/>
            <rFont val="Tahoma"/>
            <family val="2"/>
          </rPr>
          <t>The shape of the bell-curve is heavily influenced by how confident you believe the Most Likely outcome will occur relative to other, possible outcomes between the Minimum and Maximum point-estimates.  
When you are more confident in the Most Likely outcome, the bell-curve grows taller, and there is a shrinking likelihood of other occurrences near the Minimum and Maximum point-estimates.  
Conversely, when you are less confident in the Most Likely outcome, the bell-curve grows flatter, and there is a rising likelihood of other occurrences near the Minimum and Maximum point-estimates.
(You can add to, remove, or modify the dropdown control options using the VLookups worksheet).</t>
        </r>
      </text>
    </comment>
    <comment ref="I3" authorId="0" shapeId="0" xr:uid="{C716A0BD-1698-4EEA-8CF4-7011F6983367}">
      <text>
        <r>
          <rPr>
            <sz val="9"/>
            <color indexed="81"/>
            <rFont val="Tahoma"/>
            <family val="2"/>
          </rPr>
          <t>SPERT builds an implied, bell-shaped curve to represent the risk characteristics for your uncertainty.  The flatter, wider the bell-curve curve is, the more uncertain the outcomes are over the feasible region.
If the bell-curve's vertical rise is steep, though, your uncertainty has much less volatility near the most likely outcome.
If the bell-curve is centered, it perfectly fits a normal distribution.
If the bell-curve is off-center, then a normal distribution is less fitting of your uncertainty's risk properties (but using the normal distribution may be "good enough" as long as the traffic light indicator is green or yellow.</t>
        </r>
      </text>
    </comment>
    <comment ref="J3" authorId="0" shapeId="0" xr:uid="{DB5D3736-F023-4ABE-B001-E441AA6BCF4D}">
      <text>
        <r>
          <rPr>
            <sz val="9"/>
            <color indexed="81"/>
            <rFont val="Tahoma"/>
            <family val="2"/>
          </rPr>
          <t>If you have historical data, you can calculate the true standard deviation for your historical data by using either STDEV.P (standard deviation of a population) or STDEV.S (standard deviation of a sample).  In most instances, STDEV.P would be appropriate unless you are only sampling a portion of a larger dataset.  
If you enter a value under "Your SD", it will override the SPERT-calculated standard deviation in column K.</t>
        </r>
      </text>
    </comment>
    <comment ref="K3" authorId="0" shapeId="0" xr:uid="{29CE6CD6-FD50-4EDA-B324-DDF96F21E705}">
      <text>
        <r>
          <rPr>
            <sz val="9"/>
            <color indexed="81"/>
            <rFont val="Tahoma"/>
            <family val="2"/>
          </rPr>
          <t>The SPERT Standard Deviation (SD) is calculated using this formula:
SPERT SD = (Max - Min) * RSM
where RSM is the Ratio Scale Multiplier associated with the Most Likely Confidence selection in column H.  
RSMs are associated with Most Likely Confidence choices in the VLookups worksheet.
Excel's normal distribution functions, NORM.DIST and NORM.INV use the SPERT Standard Deviation as one of the input arguments.</t>
        </r>
      </text>
    </comment>
    <comment ref="O3" authorId="0" shapeId="0" xr:uid="{6FE5CB4C-8341-4DB5-8266-3CA2F6264F46}">
      <text>
        <r>
          <rPr>
            <sz val="9"/>
            <color indexed="81"/>
            <rFont val="Tahoma"/>
            <family val="2"/>
          </rPr>
          <t>You can choose different probabilities by entering a value between 1% and 99%.</t>
        </r>
      </text>
    </comment>
    <comment ref="B4" authorId="1" shapeId="0" xr:uid="{E6191D75-5CA8-47D3-9913-52992386E8EE}">
      <text>
        <r>
          <rPr>
            <b/>
            <sz val="9"/>
            <color indexed="81"/>
            <rFont val="Tahoma"/>
            <charset val="1"/>
          </rPr>
          <t>William:</t>
        </r>
        <r>
          <rPr>
            <sz val="9"/>
            <color indexed="81"/>
            <rFont val="Tahoma"/>
            <charset val="1"/>
          </rPr>
          <t xml:space="preserve">
The historical minimum over all the data is 74. I made this minimum 10 days earlier than the available history.</t>
        </r>
      </text>
    </comment>
    <comment ref="D4" authorId="1" shapeId="0" xr:uid="{654DC00D-ABFC-42B3-8076-707591321916}">
      <text>
        <r>
          <rPr>
            <b/>
            <sz val="9"/>
            <color indexed="81"/>
            <rFont val="Tahoma"/>
            <charset val="1"/>
          </rPr>
          <t>William:</t>
        </r>
        <r>
          <rPr>
            <sz val="9"/>
            <color indexed="81"/>
            <rFont val="Tahoma"/>
            <charset val="1"/>
          </rPr>
          <t xml:space="preserve">
The historical minimum over all the data is 102. I made this minimum 10 days later than the available history.</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William Davis</author>
    <author>William</author>
  </authors>
  <commentList>
    <comment ref="M2" authorId="0" shapeId="0" xr:uid="{3E9877A1-123A-4A44-821A-9C0D9288415D}">
      <text>
        <r>
          <rPr>
            <sz val="9"/>
            <color indexed="81"/>
            <rFont val="Tahoma"/>
            <family val="2"/>
          </rPr>
          <t>You may optionally enter a planning estimate for each uncertainty you enter, and see its cumulative probability result in the 'SPERT Probability' column.  
The cumulative probability is the likelihood your planning estimate will be EQUAL TO or GREATER THAN the uncertainty you are estimating.  
Choosing a larger planning estimate will increase the cumulative probability, and choosing a smaller planning estimate will decrease the cumulative probability.</t>
        </r>
      </text>
    </comment>
    <comment ref="N2" authorId="0" shapeId="0" xr:uid="{9349E7BA-EB10-4215-AFE9-3DD67595A2B7}">
      <text>
        <r>
          <rPr>
            <sz val="9"/>
            <color indexed="81"/>
            <rFont val="Tahoma"/>
            <family val="2"/>
          </rPr>
          <t>The SPERT Probability shows the cumulative probability of each Planning Estimate you entered in column M.  
If you select 'Show Left-Side Area' in cell K1, this column shows the likelihood that your Planning Estimate will be EQUAL TO or GREATER THAN the uncertainty you are estimating.  
If you select 'Show Right-Side Area' in cell M1, this column shows the likelihood that the uncertainty will EXCEED your Planning Estimate in column M.</t>
        </r>
      </text>
    </comment>
    <comment ref="B3" authorId="0" shapeId="0" xr:uid="{0722C5D4-D401-4E90-8B5E-00069186FEEC}">
      <text>
        <r>
          <rPr>
            <sz val="9"/>
            <color indexed="81"/>
            <rFont val="Tahoma"/>
            <family val="2"/>
          </rPr>
          <t>The Minimum point-estimate represents the smallest value that is feasible, but highly improbable.</t>
        </r>
      </text>
    </comment>
    <comment ref="C3" authorId="0" shapeId="0" xr:uid="{B80EFB93-4298-46F5-A063-59F833EF2DE3}">
      <text>
        <r>
          <rPr>
            <sz val="9"/>
            <color indexed="81"/>
            <rFont val="Tahoma"/>
            <family val="2"/>
          </rPr>
          <t>The Most Likely point-estimate represents the value you believe will most likely occur for each uncertainty, although many other possible outcomes exist between the Minimum and Maximum point-estimates.</t>
        </r>
      </text>
    </comment>
    <comment ref="D3" authorId="0" shapeId="0" xr:uid="{3C7CF3E3-0458-477E-9C0B-F7868E698321}">
      <text>
        <r>
          <rPr>
            <sz val="9"/>
            <color indexed="81"/>
            <rFont val="Tahoma"/>
            <family val="2"/>
          </rPr>
          <t>The Maximum point-estimate represents the largest value that is feasible, but highly improbable</t>
        </r>
      </text>
    </comment>
    <comment ref="E3" authorId="0" shapeId="0" xr:uid="{BAB0E4DD-800A-4DCF-8A7B-4CAF1102E967}">
      <text>
        <r>
          <rPr>
            <sz val="9"/>
            <color indexed="81"/>
            <rFont val="Tahoma"/>
            <family val="2"/>
          </rPr>
          <t>This checks that a proper 3-point estimate was entered:
Minimum value must be &gt; 0 and &lt; Most Likely
Most Likely must be &gt; Minimum and &lt; Maximum Maximum must be &gt; Most Likely</t>
        </r>
      </text>
    </comment>
    <comment ref="F3" authorId="0" shapeId="0" xr:uid="{6A88A4E9-DAE5-49AF-80B5-890959D97D81}">
      <text>
        <r>
          <rPr>
            <sz val="9"/>
            <color indexed="81"/>
            <rFont val="Tahoma"/>
            <family val="2"/>
          </rPr>
          <t>This checks that the task has a bell-shaped appearance (even though it may be skewed).
When the range between the Minimum and Most Likely is no more than 3x greater than the range between the Maximum and Most Likely, the light is green (and vice versa).
When the range between the Minimum and Most Likely is no more than 5x greater than the range between the Maximum and Most Likely, the light is yellow (and vice versa).  Using the SPERT® Normal Edition may not be ideal for such a skewed uncertainty.
When the range difference is more than 5x greater, the light is red.  Using the SPERT® Normal Edition is not recommended for this uncertainty.  Use the SPERT® Beta Edition instead.</t>
        </r>
      </text>
    </comment>
    <comment ref="G3" authorId="0" shapeId="0" xr:uid="{D4FDA7EF-FD5B-4B7F-83F4-01530D0224A3}">
      <text>
        <r>
          <rPr>
            <sz val="9"/>
            <color indexed="81"/>
            <rFont val="Tahoma"/>
            <family val="2"/>
          </rPr>
          <t>The PERT Mean is calcuated using the PERT formula:
(Min+(4*Most Likely)+Max)/6
On a perfectly normal distribution (no skewing), the mean will also be the Most Likely outcome (the mode) and the median (50th percentile).</t>
        </r>
      </text>
    </comment>
    <comment ref="H3" authorId="0" shapeId="0" xr:uid="{F3DBD4AA-A83A-4AEB-96E4-4BB2A249AE0F}">
      <text>
        <r>
          <rPr>
            <sz val="9"/>
            <color indexed="81"/>
            <rFont val="Tahoma"/>
            <family val="2"/>
          </rPr>
          <t>The shape of the bell-curve is heavily influenced by how confident you believe the Most Likely outcome will occur relative to other, possible outcomes between the Minimum and Maximum point-estimates.  
When you are more confident in the Most Likely outcome, the bell-curve grows taller, and there is a shrinking likelihood of other occurrences near the Minimum and Maximum point-estimates.  
Conversely, when you are less confident in the Most Likely outcome, the bell-curve grows flatter, and there is a rising likelihood of other occurrences near the Minimum and Maximum point-estimates.
(You can add to, remove, or modify the dropdown control options using the VLookups worksheet).</t>
        </r>
      </text>
    </comment>
    <comment ref="I3" authorId="0" shapeId="0" xr:uid="{FFF899A9-04E2-405A-93B7-CD8DF9FA8AA4}">
      <text>
        <r>
          <rPr>
            <sz val="9"/>
            <color indexed="81"/>
            <rFont val="Tahoma"/>
            <family val="2"/>
          </rPr>
          <t>SPERT builds an implied, bell-shaped curve to represent the risk characteristics for your uncertainty.  The flatter, wider the bell-curve curve is, the more uncertain the outcomes are over the feasible region.
If the bell-curve's vertical rise is steep, though, your uncertainty has much less volatility near the most likely outcome.
If the bell-curve is centered, it perfectly fits a normal distribution.
If the bell-curve is off-center, then a normal distribution is less fitting of your uncertainty's risk properties (but using the normal distribution may be "good enough" as long as the traffic light indicator is green or yellow.</t>
        </r>
      </text>
    </comment>
    <comment ref="J3" authorId="0" shapeId="0" xr:uid="{3DB043BA-6914-48E9-8E66-569DD865AD82}">
      <text>
        <r>
          <rPr>
            <sz val="9"/>
            <color indexed="81"/>
            <rFont val="Tahoma"/>
            <family val="2"/>
          </rPr>
          <t>If you have historical data, you can calculate the true standard deviation for your historical data by using either STDEV.P (standard deviation of a population) or STDEV.S (standard deviation of a sample).  In most instances, STDEV.P would be appropriate unless you are only sampling a portion of a larger dataset.  
If you enter a value under "Your SD", it will override the SPERT-calculated standard deviation in column K.</t>
        </r>
      </text>
    </comment>
    <comment ref="K3" authorId="0" shapeId="0" xr:uid="{4B679998-BFE2-433B-8D8F-5BB993E993C7}">
      <text>
        <r>
          <rPr>
            <sz val="9"/>
            <color indexed="81"/>
            <rFont val="Tahoma"/>
            <family val="2"/>
          </rPr>
          <t>The SPERT Standard Deviation (SD) is calculated using this formula:
SPERT SD = (Max - Min) * RSM
where RSM is the Ratio Scale Multiplier associated with the Most Likely Confidence selection in column H.  
RSMs are associated with Most Likely Confidence choices in the VLookups worksheet.
Excel's normal distribution functions, NORM.DIST and NORM.INV use the SPERT Standard Deviation as one of the input arguments.</t>
        </r>
      </text>
    </comment>
    <comment ref="O3" authorId="0" shapeId="0" xr:uid="{C45E93D2-7FA6-4E3D-A88D-7A1F397259DF}">
      <text>
        <r>
          <rPr>
            <sz val="9"/>
            <color indexed="81"/>
            <rFont val="Tahoma"/>
            <family val="2"/>
          </rPr>
          <t>You can choose different probabilities by entering a value between 1% and 99%.</t>
        </r>
      </text>
    </comment>
    <comment ref="B4" authorId="1" shapeId="0" xr:uid="{3F7B7B1A-2555-469D-A2B1-536CCBCDE1FE}">
      <text>
        <r>
          <rPr>
            <b/>
            <sz val="9"/>
            <color indexed="81"/>
            <rFont val="Tahoma"/>
            <charset val="1"/>
          </rPr>
          <t>William:</t>
        </r>
        <r>
          <rPr>
            <sz val="9"/>
            <color indexed="81"/>
            <rFont val="Tahoma"/>
            <charset val="1"/>
          </rPr>
          <t xml:space="preserve">
The historical minimum over all the data is 76. I made this minimum 10 days earlier than the available history.</t>
        </r>
      </text>
    </comment>
    <comment ref="D4" authorId="1" shapeId="0" xr:uid="{7E109030-14AF-48AD-8AB7-E2EEE4BAD374}">
      <text>
        <r>
          <rPr>
            <b/>
            <sz val="9"/>
            <color indexed="81"/>
            <rFont val="Tahoma"/>
            <charset val="1"/>
          </rPr>
          <t>William:</t>
        </r>
        <r>
          <rPr>
            <sz val="9"/>
            <color indexed="81"/>
            <rFont val="Tahoma"/>
            <charset val="1"/>
          </rPr>
          <t xml:space="preserve">
The historical minimum over all the data is 100. I made this minimum 10 days later than the available history.</t>
        </r>
      </text>
    </comment>
  </commentList>
</comments>
</file>

<file path=xl/sharedStrings.xml><?xml version="1.0" encoding="utf-8"?>
<sst xmlns="http://schemas.openxmlformats.org/spreadsheetml/2006/main" count="1067" uniqueCount="848">
  <si>
    <t>High confidence</t>
  </si>
  <si>
    <t>Medium confidence</t>
  </si>
  <si>
    <t>Low confidence</t>
  </si>
  <si>
    <t>Medium-high confidence</t>
  </si>
  <si>
    <t>Medium-low confidence</t>
  </si>
  <si>
    <t>Most Likely</t>
  </si>
  <si>
    <t>Most Likely Confidence</t>
  </si>
  <si>
    <t>Near certainty</t>
  </si>
  <si>
    <t>Guesstimate</t>
  </si>
  <si>
    <t>Version</t>
  </si>
  <si>
    <t>Description</t>
  </si>
  <si>
    <t>X-axis increments</t>
  </si>
  <si>
    <t>Between a lowerbound value of</t>
  </si>
  <si>
    <t>and an upperbound value of</t>
  </si>
  <si>
    <t>Miss the pie</t>
  </si>
  <si>
    <t>chart? Press</t>
  </si>
  <si>
    <t>SPERT Most Likely Subjective Terms</t>
  </si>
  <si>
    <t>RSM</t>
  </si>
  <si>
    <t>Minimum</t>
  </si>
  <si>
    <t>Maximum</t>
  </si>
  <si>
    <t>If you have any questions, suggestions, or comments, I'd love to hear from you!</t>
  </si>
  <si>
    <t>Contact me!</t>
  </si>
  <si>
    <t>Min</t>
  </si>
  <si>
    <t>Max</t>
  </si>
  <si>
    <t>SPERT Probabilistic Estimates</t>
  </si>
  <si>
    <t>Dropdown values for the Most Likely Confidence selection</t>
  </si>
  <si>
    <t>Ratio Scale Multiplier used in the SPERT Standard Deviation formula</t>
  </si>
  <si>
    <t>pie chart</t>
  </si>
  <si>
    <t>CTRL and 6</t>
  </si>
  <si>
    <t>to show the</t>
  </si>
  <si>
    <t>SPERT SD</t>
  </si>
  <si>
    <t>PERT Mean</t>
  </si>
  <si>
    <t>Planning Estimate</t>
  </si>
  <si>
    <t>SPERT Probability</t>
  </si>
  <si>
    <t>Show Right-Side Area</t>
  </si>
  <si>
    <t>Show Left-Side Area</t>
  </si>
  <si>
    <t>Show currency formatting</t>
  </si>
  <si>
    <t>Do not show currency formatting</t>
  </si>
  <si>
    <t>and the upperbound threshold is</t>
  </si>
  <si>
    <t>the range probability is</t>
  </si>
  <si>
    <t>Show the likelihood that the SPERT estimates will be EQUAL TO or GREATER THAN an uncertainty</t>
  </si>
  <si>
    <t>SPERT Var</t>
  </si>
  <si>
    <t>Choose whether to show currency formatting</t>
  </si>
  <si>
    <t>Choose which side of the normal curve to display</t>
  </si>
  <si>
    <t>Whole project or portfolio planning estimate</t>
  </si>
  <si>
    <t xml:space="preserve">without even the implied warranty of MERCHANTABILITY or FITNESS FOR A PARTICULAR PURPOSE.  </t>
  </si>
  <si>
    <t>GNU General Public License as published by the Free Software Foundation, either version 3 of the License,</t>
  </si>
  <si>
    <t xml:space="preserve">Watch Statistical PERT videos on YouTube </t>
  </si>
  <si>
    <t>Show the likelihood that an uncertainty will EXCEED the SPERT estimates below</t>
  </si>
  <si>
    <r>
      <t xml:space="preserve">Download more FREE </t>
    </r>
    <r>
      <rPr>
        <b/>
        <u/>
        <sz val="11"/>
        <color theme="10"/>
        <rFont val="Calibri"/>
        <family val="2"/>
        <scheme val="minor"/>
      </rPr>
      <t>Statistical PERT®</t>
    </r>
    <r>
      <rPr>
        <u/>
        <sz val="11"/>
        <color theme="10"/>
        <rFont val="Calibri"/>
        <family val="2"/>
        <scheme val="minor"/>
      </rPr>
      <t xml:space="preserve"> templates at https://www.statisticalpert.com</t>
    </r>
  </si>
  <si>
    <r>
      <t xml:space="preserve">Watch a Pluralsight course on </t>
    </r>
    <r>
      <rPr>
        <b/>
        <u/>
        <sz val="11"/>
        <color theme="10"/>
        <rFont val="Calibri"/>
        <family val="2"/>
        <scheme val="minor"/>
      </rPr>
      <t xml:space="preserve">Statistical PERT® </t>
    </r>
    <r>
      <rPr>
        <b/>
        <i/>
        <u/>
        <sz val="11"/>
        <color theme="10"/>
        <rFont val="Calibri"/>
        <family val="2"/>
        <scheme val="minor"/>
      </rPr>
      <t>Normal Edition</t>
    </r>
  </si>
  <si>
    <r>
      <rPr>
        <b/>
        <sz val="11"/>
        <color theme="1"/>
        <rFont val="Calibri"/>
        <family val="2"/>
        <scheme val="minor"/>
      </rPr>
      <t>Statistical PERT® (SPERT®)</t>
    </r>
    <r>
      <rPr>
        <sz val="11"/>
        <color theme="1"/>
        <rFont val="Calibri"/>
        <family val="2"/>
        <scheme val="minor"/>
      </rPr>
      <t xml:space="preserve"> is a freely licensed, probabilistic, estimation technique.  Use Statistical PERT</t>
    </r>
  </si>
  <si>
    <t>Curve</t>
  </si>
  <si>
    <t>These are the y-axis values with which the bell-shaped curve is built (used only for the Line SparkLine column)</t>
  </si>
  <si>
    <t>This, along with the grayed-out table below, is only used to create a Sparkline</t>
  </si>
  <si>
    <t>This section is only to build Line Sparklines to show the bell-shaped curve for each row, and the summary bell-curve chart.</t>
  </si>
  <si>
    <t>x-axis increments (magenta shows the increment, the next 101 columns are the x-axis values for the Line Sparkline column and summary bell-curve chart)</t>
  </si>
  <si>
    <t>See a green checkmark?  Keep going!  See a yellow exclamation mark?  Check your 3-point entry to see if it's correct.</t>
  </si>
  <si>
    <t>See a green or yellow light?  Keep going!  See a red light?  SPERT won't work well for this estimate scenario.</t>
  </si>
  <si>
    <t>Based upon your entries, this is how SPERT models your uncertainty using the normal distribution</t>
  </si>
  <si>
    <r>
      <rPr>
        <i/>
        <sz val="12"/>
        <color theme="1"/>
        <rFont val="Calibri"/>
        <family val="2"/>
        <scheme val="minor"/>
      </rPr>
      <t>Validate your values</t>
    </r>
    <r>
      <rPr>
        <sz val="12"/>
        <color theme="1"/>
        <rFont val="Calibri"/>
        <family val="2"/>
        <scheme val="minor"/>
      </rPr>
      <t xml:space="preserve"> →</t>
    </r>
  </si>
  <si>
    <r>
      <rPr>
        <i/>
        <sz val="12"/>
        <color theme="1"/>
        <rFont val="Calibri"/>
        <family val="2"/>
        <scheme val="minor"/>
      </rPr>
      <t>Check if this is a bell-shaped uncertainty</t>
    </r>
    <r>
      <rPr>
        <sz val="12"/>
        <color theme="1"/>
        <rFont val="Calibri"/>
        <family val="2"/>
        <scheme val="minor"/>
      </rPr>
      <t xml:space="preserve"> →</t>
    </r>
  </si>
  <si>
    <r>
      <rPr>
        <i/>
        <sz val="12"/>
        <color theme="1"/>
        <rFont val="Calibri"/>
        <family val="2"/>
        <scheme val="minor"/>
      </rPr>
      <t>Enter a</t>
    </r>
    <r>
      <rPr>
        <sz val="12"/>
        <color theme="1"/>
        <rFont val="Calibri"/>
        <family val="2"/>
        <scheme val="minor"/>
      </rPr>
      <t xml:space="preserve"> </t>
    </r>
    <r>
      <rPr>
        <b/>
        <sz val="12"/>
        <color theme="1"/>
        <rFont val="Calibri"/>
        <family val="2"/>
        <scheme val="minor"/>
      </rPr>
      <t>planning</t>
    </r>
    <r>
      <rPr>
        <sz val="12"/>
        <color theme="1"/>
        <rFont val="Calibri"/>
        <family val="2"/>
        <scheme val="minor"/>
      </rPr>
      <t xml:space="preserve"> </t>
    </r>
    <r>
      <rPr>
        <i/>
        <sz val="12"/>
        <color theme="1"/>
        <rFont val="Calibri"/>
        <family val="2"/>
        <scheme val="minor"/>
      </rPr>
      <t>estimate</t>
    </r>
    <r>
      <rPr>
        <sz val="12"/>
        <color theme="1"/>
        <rFont val="Calibri"/>
        <family val="2"/>
        <scheme val="minor"/>
      </rPr>
      <t xml:space="preserve"> →</t>
    </r>
  </si>
  <si>
    <r>
      <rPr>
        <i/>
        <sz val="12"/>
        <color theme="1"/>
        <rFont val="Calibri"/>
        <family val="2"/>
        <scheme val="minor"/>
      </rPr>
      <t>Choose either the left- or right-side area</t>
    </r>
    <r>
      <rPr>
        <sz val="12"/>
        <color theme="1"/>
        <rFont val="Calibri"/>
        <family val="2"/>
        <scheme val="minor"/>
      </rPr>
      <t xml:space="preserve"> →</t>
    </r>
  </si>
  <si>
    <r>
      <rPr>
        <i/>
        <sz val="12"/>
        <color theme="1"/>
        <rFont val="Calibri"/>
        <family val="2"/>
        <scheme val="minor"/>
      </rPr>
      <t>Enter any percentage</t>
    </r>
    <r>
      <rPr>
        <sz val="12"/>
        <color theme="1"/>
        <rFont val="Calibri"/>
        <family val="2"/>
        <scheme val="minor"/>
      </rPr>
      <t xml:space="preserve"> between 1% and 99% →</t>
    </r>
  </si>
  <si>
    <t>Below, SPERT will calculate an estimate for you</t>
  </si>
  <si>
    <r>
      <rPr>
        <i/>
        <sz val="12"/>
        <color theme="1"/>
        <rFont val="Calibri"/>
        <family val="2"/>
        <scheme val="minor"/>
      </rPr>
      <t xml:space="preserve">How confident are you in the </t>
    </r>
    <r>
      <rPr>
        <b/>
        <i/>
        <sz val="12"/>
        <color theme="1"/>
        <rFont val="Calibri"/>
        <family val="2"/>
        <scheme val="minor"/>
      </rPr>
      <t>most likely</t>
    </r>
    <r>
      <rPr>
        <i/>
        <sz val="12"/>
        <color theme="1"/>
        <rFont val="Calibri"/>
        <family val="2"/>
        <scheme val="minor"/>
      </rPr>
      <t xml:space="preserve"> outcome?</t>
    </r>
    <r>
      <rPr>
        <sz val="12"/>
        <color theme="1"/>
        <rFont val="Calibri"/>
        <family val="2"/>
        <scheme val="minor"/>
      </rPr>
      <t xml:space="preserve"> →</t>
    </r>
  </si>
  <si>
    <r>
      <rPr>
        <i/>
        <sz val="12"/>
        <color theme="1"/>
        <rFont val="Calibri"/>
        <family val="2"/>
        <scheme val="minor"/>
      </rPr>
      <t>Here's your implied, bell-shaped curve</t>
    </r>
    <r>
      <rPr>
        <sz val="12"/>
        <color theme="1"/>
        <rFont val="Calibri"/>
        <family val="2"/>
        <scheme val="minor"/>
      </rPr>
      <t xml:space="preserve"> →</t>
    </r>
  </si>
  <si>
    <t>You can obtain SPERT estimates from either the left- or right-side area of the bell-curve</t>
  </si>
  <si>
    <t>What's the minimum possible value or outcome for your uncertainty?</t>
  </si>
  <si>
    <t>What's the maximum possible value or outcome for your uncertainty?</t>
  </si>
  <si>
    <r>
      <rPr>
        <i/>
        <sz val="12"/>
        <color theme="1"/>
        <rFont val="Calibri"/>
        <family val="2"/>
        <scheme val="minor"/>
      </rPr>
      <t>Enter your uncertainty's</t>
    </r>
    <r>
      <rPr>
        <sz val="12"/>
        <color theme="1"/>
        <rFont val="Calibri"/>
        <family val="2"/>
        <scheme val="minor"/>
      </rPr>
      <t xml:space="preserve"> </t>
    </r>
    <r>
      <rPr>
        <b/>
        <sz val="12"/>
        <color theme="1"/>
        <rFont val="Calibri"/>
        <family val="2"/>
        <scheme val="minor"/>
      </rPr>
      <t>minimum</t>
    </r>
    <r>
      <rPr>
        <sz val="12"/>
        <color theme="1"/>
        <rFont val="Calibri"/>
        <family val="2"/>
        <scheme val="minor"/>
      </rPr>
      <t xml:space="preserve"> </t>
    </r>
    <r>
      <rPr>
        <i/>
        <sz val="12"/>
        <color theme="1"/>
        <rFont val="Calibri"/>
        <family val="2"/>
        <scheme val="minor"/>
      </rPr>
      <t>value</t>
    </r>
    <r>
      <rPr>
        <sz val="12"/>
        <color theme="1"/>
        <rFont val="Calibri"/>
        <family val="2"/>
        <scheme val="minor"/>
      </rPr>
      <t xml:space="preserve"> </t>
    </r>
    <r>
      <rPr>
        <sz val="12"/>
        <color theme="1"/>
        <rFont val="Calibri"/>
        <family val="2"/>
      </rPr>
      <t>→</t>
    </r>
  </si>
  <si>
    <r>
      <rPr>
        <i/>
        <sz val="12"/>
        <color theme="1"/>
        <rFont val="Calibri"/>
        <family val="2"/>
        <scheme val="minor"/>
      </rPr>
      <t>Enter your uncertainty's</t>
    </r>
    <r>
      <rPr>
        <sz val="12"/>
        <color theme="1"/>
        <rFont val="Calibri"/>
        <family val="2"/>
        <scheme val="minor"/>
      </rPr>
      <t xml:space="preserve"> </t>
    </r>
    <r>
      <rPr>
        <b/>
        <sz val="12"/>
        <color theme="1"/>
        <rFont val="Calibri"/>
        <family val="2"/>
        <scheme val="minor"/>
      </rPr>
      <t>maximum</t>
    </r>
    <r>
      <rPr>
        <sz val="12"/>
        <color theme="1"/>
        <rFont val="Calibri"/>
        <family val="2"/>
        <scheme val="minor"/>
      </rPr>
      <t xml:space="preserve"> </t>
    </r>
    <r>
      <rPr>
        <i/>
        <sz val="12"/>
        <color theme="1"/>
        <rFont val="Calibri"/>
        <family val="2"/>
        <scheme val="minor"/>
      </rPr>
      <t>value</t>
    </r>
    <r>
      <rPr>
        <sz val="12"/>
        <color theme="1"/>
        <rFont val="Calibri"/>
        <family val="2"/>
        <scheme val="minor"/>
      </rPr>
      <t xml:space="preserve"> →</t>
    </r>
  </si>
  <si>
    <t>At the 2018 PMI Global Conference,</t>
  </si>
  <si>
    <t>team-building and training</t>
  </si>
  <si>
    <t>framework to build collaboration</t>
  </si>
  <si>
    <t>skills using masterpiece artworks.</t>
  </si>
  <si>
    <t>Use Collabinart at any point in a</t>
  </si>
  <si>
    <t>Visit the Collabinart website</t>
  </si>
  <si>
    <t>to learn more.</t>
  </si>
  <si>
    <t>team camaraderie, active listening</t>
  </si>
  <si>
    <t>skills, and collaboration skills.</t>
  </si>
  <si>
    <t>It's fun, free, and effective.</t>
  </si>
  <si>
    <t>team's journey together.  Develop</t>
  </si>
  <si>
    <r>
      <rPr>
        <b/>
        <sz val="11"/>
        <color theme="1"/>
        <rFont val="Calibri"/>
        <family val="2"/>
      </rPr>
      <t>Collabinart</t>
    </r>
    <r>
      <rPr>
        <i/>
        <sz val="11"/>
        <color theme="1"/>
        <rFont val="Calibri"/>
        <family val="2"/>
        <scheme val="minor"/>
      </rPr>
      <t xml:space="preserve"> is a freely-licensed </t>
    </r>
  </si>
  <si>
    <t>or (at your option) any later version.  Statistical PERT® and SPERT® are federally-registered trademarks.  If you modify</t>
  </si>
  <si>
    <t>Statistical PERT® is a free spreadsheet file; you can redistribute it and/or modify it under the terms of the</t>
  </si>
  <si>
    <t>this spreadsheet in any material way, please remove these trademarked names from the modified spreadsheet.</t>
  </si>
  <si>
    <r>
      <t xml:space="preserve">Note:  Changing the </t>
    </r>
    <r>
      <rPr>
        <b/>
        <i/>
        <sz val="11"/>
        <color rgb="FFFF0000"/>
        <rFont val="Calibri"/>
        <family val="2"/>
        <scheme val="minor"/>
      </rPr>
      <t>SPERT Most Likely Subjective Terms</t>
    </r>
    <r>
      <rPr>
        <i/>
        <sz val="11"/>
        <color rgb="FFFF0000"/>
        <rFont val="Calibri"/>
        <family val="2"/>
        <scheme val="minor"/>
      </rPr>
      <t xml:space="preserve"> may cause the data validation</t>
    </r>
  </si>
  <si>
    <r>
      <t xml:space="preserve">to break (for the </t>
    </r>
    <r>
      <rPr>
        <b/>
        <i/>
        <sz val="11"/>
        <color rgb="FFFF0000"/>
        <rFont val="Calibri"/>
        <family val="2"/>
        <scheme val="minor"/>
      </rPr>
      <t>Most Likely Confidence</t>
    </r>
    <r>
      <rPr>
        <i/>
        <sz val="11"/>
        <color rgb="FFFF0000"/>
        <rFont val="Calibri"/>
        <family val="2"/>
        <scheme val="minor"/>
      </rPr>
      <t xml:space="preserve"> column) due to an Excel bug.  If that occurs, just</t>
    </r>
  </si>
  <si>
    <t>re-edit the data validation by re-selecting these list items.</t>
  </si>
  <si>
    <t>Connect with or follow William W. Davis on LinkedIn</t>
  </si>
  <si>
    <t>Your planning estimate is any interesting number between your minimum and maximum estimates</t>
  </si>
  <si>
    <t>The lowerbound area covers</t>
  </si>
  <si>
    <t>and the upperbound area covers</t>
  </si>
  <si>
    <t xml:space="preserve">                       Version 3, 29 June 2007</t>
  </si>
  <si>
    <t xml:space="preserve"> Copyright (C) 2007 Free Software Foundation, Inc. &lt;https://fsf.org/&gt;</t>
  </si>
  <si>
    <t xml:space="preserve"> Everyone is permitted to copy and distribute verbatim copies</t>
  </si>
  <si>
    <t xml:space="preserve"> of this license document, but changing it is not allowed.</t>
  </si>
  <si>
    <t xml:space="preserve">                            Preamble</t>
  </si>
  <si>
    <t xml:space="preserve">  The GNU General Public License is a free, copyleft license for</t>
  </si>
  <si>
    <t>software and other kinds of works.</t>
  </si>
  <si>
    <t xml:space="preserve">  The licenses for most software and other practical works are designed</t>
  </si>
  <si>
    <t>to take away your freedom to share and change the works.  By contrast,</t>
  </si>
  <si>
    <t>the GNU General Public License is intended to guarantee your freedom to</t>
  </si>
  <si>
    <t>share and change all versions of a program--to make sure it remains free</t>
  </si>
  <si>
    <t>software for all its users.  We, the Free Software Foundation, use the</t>
  </si>
  <si>
    <t>GNU General Public License for most of our software; it applies also to</t>
  </si>
  <si>
    <t>any other work released this way by its authors.  You can apply it to</t>
  </si>
  <si>
    <t>your programs, too.</t>
  </si>
  <si>
    <t xml:space="preserve">  When we speak of free software, we are referring to freedom, not</t>
  </si>
  <si>
    <t>price.  Our General Public Licenses are designed to make sure that you</t>
  </si>
  <si>
    <t>have the freedom to distribute copies of free software (and charge for</t>
  </si>
  <si>
    <t>them if you wish), that you receive source code or can get it if you</t>
  </si>
  <si>
    <t>want it, that you can change the software or use pieces of it in new</t>
  </si>
  <si>
    <t>free programs, and that you know you can do these things.</t>
  </si>
  <si>
    <t xml:space="preserve">  To protect your rights, we need to prevent others from denying you</t>
  </si>
  <si>
    <t>these rights or asking you to surrender the rights.  Therefore, you have</t>
  </si>
  <si>
    <t>certain responsibilities if you distribute copies of the software, or if</t>
  </si>
  <si>
    <t>you modify it: responsibilities to respect the freedom of others.</t>
  </si>
  <si>
    <t xml:space="preserve">  For example, if you distribute copies of such a program, whether</t>
  </si>
  <si>
    <t>gratis or for a fee, you must pass on to the recipients the same</t>
  </si>
  <si>
    <t>freedoms that you received.  You must make sure that they, too, receive</t>
  </si>
  <si>
    <t>or can get the source code.  And you must show them these terms so they</t>
  </si>
  <si>
    <t>know their rights.</t>
  </si>
  <si>
    <t xml:space="preserve">  Developers that use the GNU GPL protect your rights with two steps:</t>
  </si>
  <si>
    <t>(1) assert copyright on the software, and (2) offer you this License</t>
  </si>
  <si>
    <t>giving you legal permission to copy, distribute and/or modify it.</t>
  </si>
  <si>
    <t xml:space="preserve">  For the developers' and authors' protection, the GPL clearly explains</t>
  </si>
  <si>
    <t>that there is no warranty for this free software.  For both users' and</t>
  </si>
  <si>
    <t>authors' sake, the GPL requires that modified versions be marked as</t>
  </si>
  <si>
    <t>changed, so that their problems will not be attributed erroneously to</t>
  </si>
  <si>
    <t>authors of previous versions.</t>
  </si>
  <si>
    <t xml:space="preserve">  Some devices are designed to deny users access to install or run</t>
  </si>
  <si>
    <t>modified versions of the software inside them, although the manufacturer</t>
  </si>
  <si>
    <t>can do so.  This is fundamentally incompatible with the aim of</t>
  </si>
  <si>
    <t>protecting users' freedom to change the software.  The systematic</t>
  </si>
  <si>
    <t>pattern of such abuse occurs in the area of products for individuals to</t>
  </si>
  <si>
    <t>use, which is precisely where it is most unacceptable.  Therefore, we</t>
  </si>
  <si>
    <t>have designed this version of the GPL to prohibit the practice for those</t>
  </si>
  <si>
    <t>products.  If such problems arise substantially in other domains, we</t>
  </si>
  <si>
    <t>stand ready to extend this provision to those domains in future versions</t>
  </si>
  <si>
    <t>of the GPL, as needed to protect the freedom of users.</t>
  </si>
  <si>
    <t xml:space="preserve">  Finally, every program is threatened constantly by software patents.</t>
  </si>
  <si>
    <t>States should not allow patents to restrict development and use of</t>
  </si>
  <si>
    <t>software on general-purpose computers, but in those that do, we wish to</t>
  </si>
  <si>
    <t>avoid the special danger that patents applied to a free program could</t>
  </si>
  <si>
    <t>make it effectively proprietary.  To prevent this, the GPL assures that</t>
  </si>
  <si>
    <t>patents cannot be used to render the program non-free.</t>
  </si>
  <si>
    <t xml:space="preserve">  The precise terms and conditions for copying, distribution and</t>
  </si>
  <si>
    <t>modification follow.</t>
  </si>
  <si>
    <t xml:space="preserve">                       TERMS AND CONDITIONS</t>
  </si>
  <si>
    <t xml:space="preserve">  0. Definitions.</t>
  </si>
  <si>
    <t xml:space="preserve">  "This License" refers to version 3 of the GNU General Public License.</t>
  </si>
  <si>
    <t xml:space="preserve">  "Copyright" also means copyright-like laws that apply to other kinds of</t>
  </si>
  <si>
    <t>works, such as semiconductor masks.</t>
  </si>
  <si>
    <t xml:space="preserve">  "The Program" refers to any copyrightable work licensed under this</t>
  </si>
  <si>
    <t>License.  Each licensee is addressed as "you".  "Licensees" and</t>
  </si>
  <si>
    <t>"recipients" may be individuals or organizations.</t>
  </si>
  <si>
    <t xml:space="preserve">  To "modify" a work means to copy from or adapt all or part of the work</t>
  </si>
  <si>
    <t>in a fashion requiring copyright permission, other than the making of an</t>
  </si>
  <si>
    <t>exact copy.  The resulting work is called a "modified version" of the</t>
  </si>
  <si>
    <t>earlier work or a work "based on" the earlier work.</t>
  </si>
  <si>
    <t xml:space="preserve">  A "covered work" means either the unmodified Program or a work based</t>
  </si>
  <si>
    <t>on the Program.</t>
  </si>
  <si>
    <t xml:space="preserve">  To "propagate" a work means to do anything with it that, without</t>
  </si>
  <si>
    <t>permission, would make you directly or secondarily liable for</t>
  </si>
  <si>
    <t>infringement under applicable copyright law, except executing it on a</t>
  </si>
  <si>
    <t>computer or modifying a private copy.  Propagation includes copying,</t>
  </si>
  <si>
    <t>distribution (with or without modification), making available to the</t>
  </si>
  <si>
    <t>public, and in some countries other activities as well.</t>
  </si>
  <si>
    <t xml:space="preserve">  To "convey" a work means any kind of propagation that enables other</t>
  </si>
  <si>
    <t>parties to make or receive copies.  Mere interaction with a user through</t>
  </si>
  <si>
    <t>a computer network, with no transfer of a copy, is not conveying.</t>
  </si>
  <si>
    <t xml:space="preserve">  An interactive user interface displays "Appropriate Legal Notices"</t>
  </si>
  <si>
    <t>to the extent that it includes a convenient and prominently visible</t>
  </si>
  <si>
    <t>feature that (1) displays an appropriate copyright notice, and (2)</t>
  </si>
  <si>
    <t>tells the user that there is no warranty for the work (except to the</t>
  </si>
  <si>
    <t>extent that warranties are provided), that licensees may convey the</t>
  </si>
  <si>
    <t>work under this License, and how to view a copy of this License.  If</t>
  </si>
  <si>
    <t>the interface presents a list of user commands or options, such as a</t>
  </si>
  <si>
    <t>menu, a prominent item in the list meets this criterion.</t>
  </si>
  <si>
    <t xml:space="preserve">  1. Source Code.</t>
  </si>
  <si>
    <t xml:space="preserve">  The "source code" for a work means the preferred form of the work</t>
  </si>
  <si>
    <t>for making modifications to it.  "Object code" means any non-source</t>
  </si>
  <si>
    <t>form of a work.</t>
  </si>
  <si>
    <t xml:space="preserve">  A "Standard Interface" means an interface that either is an official</t>
  </si>
  <si>
    <t>standard defined by a recognized standards body, or, in the case of</t>
  </si>
  <si>
    <t>interfaces specified for a particular programming language, one that</t>
  </si>
  <si>
    <t>is widely used among developers working in that language.</t>
  </si>
  <si>
    <t xml:space="preserve">  The "System Libraries" of an executable work include anything, other</t>
  </si>
  <si>
    <t>than the work as a whole, that (a) is included in the normal form of</t>
  </si>
  <si>
    <t>packaging a Major Component, but which is not part of that Major</t>
  </si>
  <si>
    <t>Component, and (b) serves only to enable use of the work with that</t>
  </si>
  <si>
    <t>Major Component, or to implement a Standard Interface for which an</t>
  </si>
  <si>
    <t>implementation is available to the public in source code form.  A</t>
  </si>
  <si>
    <t>"Major Component", in this context, means a major essential component</t>
  </si>
  <si>
    <t>(kernel, window system, and so on) of the specific operating system</t>
  </si>
  <si>
    <t>(if any) on which the executable work runs, or a compiler used to</t>
  </si>
  <si>
    <t>produce the work, or an object code interpreter used to run it.</t>
  </si>
  <si>
    <t xml:space="preserve">  The "Corresponding Source" for a work in object code form means all</t>
  </si>
  <si>
    <t>the source code needed to generate, install, and (for an executable</t>
  </si>
  <si>
    <t>work) run the object code and to modify the work, including scripts to</t>
  </si>
  <si>
    <t>control those activities.  However, it does not include the work's</t>
  </si>
  <si>
    <t>System Libraries, or general-purpose tools or generally available free</t>
  </si>
  <si>
    <t>programs which are used unmodified in performing those activities but</t>
  </si>
  <si>
    <t>which are not part of the work.  For example, Corresponding Source</t>
  </si>
  <si>
    <t>includes interface definition files associated with source files for</t>
  </si>
  <si>
    <t>the work, and the source code for shared libraries and dynamically</t>
  </si>
  <si>
    <t>linked subprograms that the work is specifically designed to require,</t>
  </si>
  <si>
    <t>such as by intimate data communication or control flow between those</t>
  </si>
  <si>
    <t>subprograms and other parts of the work.</t>
  </si>
  <si>
    <t xml:space="preserve">  The Corresponding Source need not include anything that users</t>
  </si>
  <si>
    <t>can regenerate automatically from other parts of the Corresponding</t>
  </si>
  <si>
    <t>Source.</t>
  </si>
  <si>
    <t xml:space="preserve">  The Corresponding Source for a work in source code form is that</t>
  </si>
  <si>
    <t>same work.</t>
  </si>
  <si>
    <t xml:space="preserve">  2. Basic Permissions.</t>
  </si>
  <si>
    <t xml:space="preserve">  All rights granted under this License are granted for the term of</t>
  </si>
  <si>
    <t>copyright on the Program, and are irrevocable provided the stated</t>
  </si>
  <si>
    <t>conditions are met.  This License explicitly affirms your unlimited</t>
  </si>
  <si>
    <t>permission to run the unmodified Program.  The output from running a</t>
  </si>
  <si>
    <t>covered work is covered by this License only if the output, given its</t>
  </si>
  <si>
    <t>content, constitutes a covered work.  This License acknowledges your</t>
  </si>
  <si>
    <t>rights of fair use or other equivalent, as provided by copyright law.</t>
  </si>
  <si>
    <t xml:space="preserve">  You may make, run and propagate covered works that you do not</t>
  </si>
  <si>
    <t>convey, without conditions so long as your license otherwise remains</t>
  </si>
  <si>
    <t>in force.  You may convey covered works to others for the sole purpose</t>
  </si>
  <si>
    <t>of having them make modifications exclusively for you, or provide you</t>
  </si>
  <si>
    <t>with facilities for running those works, provided that you comply with</t>
  </si>
  <si>
    <t>the terms of this License in conveying all material for which you do</t>
  </si>
  <si>
    <t>not control copyright.  Those thus making or running the covered works</t>
  </si>
  <si>
    <t>for you must do so exclusively on your behalf, under your direction</t>
  </si>
  <si>
    <t>and control, on terms that prohibit them from making any copies of</t>
  </si>
  <si>
    <t>your copyrighted material outside their relationship with you.</t>
  </si>
  <si>
    <t xml:space="preserve">  Conveying under any other circumstances is permitted solely under</t>
  </si>
  <si>
    <t>the conditions stated below.  Sublicensing is not allowed; section 10</t>
  </si>
  <si>
    <t>makes it unnecessary.</t>
  </si>
  <si>
    <t xml:space="preserve">  3. Protecting Users' Legal Rights From Anti-Circumvention Law.</t>
  </si>
  <si>
    <t xml:space="preserve">  No covered work shall be deemed part of an effective technological</t>
  </si>
  <si>
    <t>measure under any applicable law fulfilling obligations under article</t>
  </si>
  <si>
    <t>11 of the WIPO copyright treaty adopted on 20 December 1996, or</t>
  </si>
  <si>
    <t>similar laws prohibiting or restricting circumvention of such</t>
  </si>
  <si>
    <t>measures.</t>
  </si>
  <si>
    <t xml:space="preserve">  When you convey a covered work, you waive any legal power to forbid</t>
  </si>
  <si>
    <t>circumvention of technological measures to the extent such circumvention</t>
  </si>
  <si>
    <t>is effected by exercising rights under this License with respect to</t>
  </si>
  <si>
    <t>the covered work, and you disclaim any intention to limit operation or</t>
  </si>
  <si>
    <t>modification of the work as a means of enforcing, against the work's</t>
  </si>
  <si>
    <t>users, your or third parties' legal rights to forbid circumvention of</t>
  </si>
  <si>
    <t>technological measures.</t>
  </si>
  <si>
    <t xml:space="preserve">  4. Conveying Verbatim Copies.</t>
  </si>
  <si>
    <t xml:space="preserve">  You may convey verbatim copies of the Program's source code as you</t>
  </si>
  <si>
    <t>receive it, in any medium, provided that you conspicuously and</t>
  </si>
  <si>
    <t>appropriately publish on each copy an appropriate copyright notice;</t>
  </si>
  <si>
    <t>keep intact all notices stating that this License and any</t>
  </si>
  <si>
    <t>non-permissive terms added in accord with section 7 apply to the code;</t>
  </si>
  <si>
    <t>keep intact all notices of the absence of any warranty; and give all</t>
  </si>
  <si>
    <t>recipients a copy of this License along with the Program.</t>
  </si>
  <si>
    <t xml:space="preserve">  You may charge any price or no price for each copy that you convey,</t>
  </si>
  <si>
    <t>and you may offer support or warranty protection for a fee.</t>
  </si>
  <si>
    <t xml:space="preserve">  5. Conveying Modified Source Versions.</t>
  </si>
  <si>
    <t xml:space="preserve">  You may convey a work based on the Program, or the modifications to</t>
  </si>
  <si>
    <t>produce it from the Program, in the form of source code under the</t>
  </si>
  <si>
    <t>terms of section 4, provided that you also meet all of these conditions:</t>
  </si>
  <si>
    <t xml:space="preserve">    a) The work must carry prominent notices stating that you modified</t>
  </si>
  <si>
    <t xml:space="preserve">    it, and giving a relevant date.</t>
  </si>
  <si>
    <t xml:space="preserve">    b) The work must carry prominent notices stating that it is</t>
  </si>
  <si>
    <t xml:space="preserve">    released under this License and any conditions added under section</t>
  </si>
  <si>
    <t xml:space="preserve">    7.  This requirement modifies the requirement in section 4 to</t>
  </si>
  <si>
    <t xml:space="preserve">    "keep intact all notices".</t>
  </si>
  <si>
    <t xml:space="preserve">    c) You must license the entire work, as a whole, under this</t>
  </si>
  <si>
    <t xml:space="preserve">    License to anyone who comes into possession of a copy.  This</t>
  </si>
  <si>
    <t xml:space="preserve">    License will therefore apply, along with any applicable section 7</t>
  </si>
  <si>
    <t xml:space="preserve">    additional terms, to the whole of the work, and all its parts,</t>
  </si>
  <si>
    <t xml:space="preserve">    regardless of how they are packaged.  This License gives no</t>
  </si>
  <si>
    <t xml:space="preserve">    permission to license the work in any other way, but it does not</t>
  </si>
  <si>
    <t xml:space="preserve">    invalidate such permission if you have separately received it.</t>
  </si>
  <si>
    <t xml:space="preserve">    d) If the work has interactive user interfaces, each must display</t>
  </si>
  <si>
    <t xml:space="preserve">    Appropriate Legal Notices; however, if the Program has interactive</t>
  </si>
  <si>
    <t xml:space="preserve">    interfaces that do not display Appropriate Legal Notices, your</t>
  </si>
  <si>
    <t xml:space="preserve">    work need not make them do so.</t>
  </si>
  <si>
    <t xml:space="preserve">  A compilation of a covered work with other separate and independent</t>
  </si>
  <si>
    <t>works, which are not by their nature extensions of the covered work,</t>
  </si>
  <si>
    <t>and which are not combined with it such as to form a larger program,</t>
  </si>
  <si>
    <t>in or on a volume of a storage or distribution medium, is called an</t>
  </si>
  <si>
    <t>"aggregate" if the compilation and its resulting copyright are not</t>
  </si>
  <si>
    <t>used to limit the access or legal rights of the compilation's users</t>
  </si>
  <si>
    <t>beyond what the individual works permit.  Inclusion of a covered work</t>
  </si>
  <si>
    <t>in an aggregate does not cause this License to apply to the other</t>
  </si>
  <si>
    <t>parts of the aggregate.</t>
  </si>
  <si>
    <t xml:space="preserve">  6. Conveying Non-Source Forms.</t>
  </si>
  <si>
    <t xml:space="preserve">  You may convey a covered work in object code form under the terms</t>
  </si>
  <si>
    <t>of sections 4 and 5, provided that you also convey the</t>
  </si>
  <si>
    <t>machine-readable Corresponding Source under the terms of this License,</t>
  </si>
  <si>
    <t>in one of these ways:</t>
  </si>
  <si>
    <t xml:space="preserve">    a) Convey the object code in, or embodied in, a physical product</t>
  </si>
  <si>
    <t xml:space="preserve">    (including a physical distribution medium), accompanied by the</t>
  </si>
  <si>
    <t xml:space="preserve">    Corresponding Source fixed on a durable physical medium</t>
  </si>
  <si>
    <t xml:space="preserve">    customarily used for software interchange.</t>
  </si>
  <si>
    <t xml:space="preserve">    b) Convey the object code in, or embodied in, a physical product</t>
  </si>
  <si>
    <t xml:space="preserve">    (including a physical distribution medium), accompanied by a</t>
  </si>
  <si>
    <t xml:space="preserve">    written offer, valid for at least three years and valid for as</t>
  </si>
  <si>
    <t xml:space="preserve">    long as you offer spare parts or customer support for that product</t>
  </si>
  <si>
    <t xml:space="preserve">    model, to give anyone who possesses the object code either (1) a</t>
  </si>
  <si>
    <t xml:space="preserve">    copy of the Corresponding Source for all the software in the</t>
  </si>
  <si>
    <t xml:space="preserve">    product that is covered by this License, on a durable physical</t>
  </si>
  <si>
    <t xml:space="preserve">    medium customarily used for software interchange, for a price no</t>
  </si>
  <si>
    <t xml:space="preserve">    more than your reasonable cost of physically performing this</t>
  </si>
  <si>
    <t xml:space="preserve">    conveying of source, or (2) access to copy the</t>
  </si>
  <si>
    <t xml:space="preserve">    Corresponding Source from a network server at no charge.</t>
  </si>
  <si>
    <t xml:space="preserve">    c) Convey individual copies of the object code with a copy of the</t>
  </si>
  <si>
    <t xml:space="preserve">    written offer to provide the Corresponding Source.  This</t>
  </si>
  <si>
    <t xml:space="preserve">    alternative is allowed only occasionally and noncommercially, and</t>
  </si>
  <si>
    <t xml:space="preserve">    only if you received the object code with such an offer, in accord</t>
  </si>
  <si>
    <t xml:space="preserve">    with subsection 6b.</t>
  </si>
  <si>
    <t xml:space="preserve">    d) Convey the object code by offering access from a designated</t>
  </si>
  <si>
    <t xml:space="preserve">    place (gratis or for a charge), and offer equivalent access to the</t>
  </si>
  <si>
    <t xml:space="preserve">    Corresponding Source in the same way through the same place at no</t>
  </si>
  <si>
    <t xml:space="preserve">    further charge.  You need not require recipients to copy the</t>
  </si>
  <si>
    <t xml:space="preserve">    Corresponding Source along with the object code.  If the place to</t>
  </si>
  <si>
    <t xml:space="preserve">    copy the object code is a network server, the Corresponding Source</t>
  </si>
  <si>
    <t xml:space="preserve">    may be on a different server (operated by you or a third party)</t>
  </si>
  <si>
    <t xml:space="preserve">    that supports equivalent copying facilities, provided you maintain</t>
  </si>
  <si>
    <t xml:space="preserve">    clear directions next to the object code saying where to find the</t>
  </si>
  <si>
    <t xml:space="preserve">    Corresponding Source.  Regardless of what server hosts the</t>
  </si>
  <si>
    <t xml:space="preserve">    Corresponding Source, you remain obligated to ensure that it is</t>
  </si>
  <si>
    <t xml:space="preserve">    available for as long as needed to satisfy these requirements.</t>
  </si>
  <si>
    <t xml:space="preserve">    e) Convey the object code using peer-to-peer transmission, provided</t>
  </si>
  <si>
    <t xml:space="preserve">    you inform other peers where the object code and Corresponding</t>
  </si>
  <si>
    <t xml:space="preserve">    Source of the work are being offered to the general public at no</t>
  </si>
  <si>
    <t xml:space="preserve">    charge under subsection 6d.</t>
  </si>
  <si>
    <t xml:space="preserve">  A separable portion of the object code, whose source code is excluded</t>
  </si>
  <si>
    <t>from the Corresponding Source as a System Library, need not be</t>
  </si>
  <si>
    <t>included in conveying the object code work.</t>
  </si>
  <si>
    <t xml:space="preserve">  A "User Product" is either (1) a "consumer product", which means any</t>
  </si>
  <si>
    <t>tangible personal property which is normally used for personal, family,</t>
  </si>
  <si>
    <t>or household purposes, or (2) anything designed or sold for incorporation</t>
  </si>
  <si>
    <t>into a dwelling.  In determining whether a product is a consumer product,</t>
  </si>
  <si>
    <t>doubtful cases shall be resolved in favor of coverage.  For a particular</t>
  </si>
  <si>
    <t>product received by a particular user, "normally used" refers to a</t>
  </si>
  <si>
    <t>typical or common use of that class of product, regardless of the status</t>
  </si>
  <si>
    <t>of the particular user or of the way in which the particular user</t>
  </si>
  <si>
    <t>actually uses, or expects or is expected to use, the product.  A product</t>
  </si>
  <si>
    <t>is a consumer product regardless of whether the product has substantial</t>
  </si>
  <si>
    <t>commercial, industrial or non-consumer uses, unless such uses represent</t>
  </si>
  <si>
    <t>the only significant mode of use of the product.</t>
  </si>
  <si>
    <t xml:space="preserve">  "Installation Information" for a User Product means any methods,</t>
  </si>
  <si>
    <t>procedures, authorization keys, or other information required to install</t>
  </si>
  <si>
    <t>and execute modified versions of a covered work in that User Product from</t>
  </si>
  <si>
    <t>a modified version of its Corresponding Source.  The information must</t>
  </si>
  <si>
    <t>suffice to ensure that the continued functioning of the modified object</t>
  </si>
  <si>
    <t>code is in no case prevented or interfered with solely because</t>
  </si>
  <si>
    <t>modification has been made.</t>
  </si>
  <si>
    <t xml:space="preserve">  If you convey an object code work under this section in, or with, or</t>
  </si>
  <si>
    <t>specifically for use in, a User Product, and the conveying occurs as</t>
  </si>
  <si>
    <t>part of a transaction in which the right of possession and use of the</t>
  </si>
  <si>
    <t>User Product is transferred to the recipient in perpetuity or for a</t>
  </si>
  <si>
    <t>fixed term (regardless of how the transaction is characterized), the</t>
  </si>
  <si>
    <t>Corresponding Source conveyed under this section must be accompanied</t>
  </si>
  <si>
    <t>by the Installation Information.  But this requirement does not apply</t>
  </si>
  <si>
    <t>if neither you nor any third party retains the ability to install</t>
  </si>
  <si>
    <t>modified object code on the User Product (for example, the work has</t>
  </si>
  <si>
    <t>been installed in ROM).</t>
  </si>
  <si>
    <t xml:space="preserve">  The requirement to provide Installation Information does not include a</t>
  </si>
  <si>
    <t>requirement to continue to provide support service, warranty, or updates</t>
  </si>
  <si>
    <t>for a work that has been modified or installed by the recipient, or for</t>
  </si>
  <si>
    <t>the User Product in which it has been modified or installed.  Access to a</t>
  </si>
  <si>
    <t>network may be denied when the modification itself materially and</t>
  </si>
  <si>
    <t>adversely affects the operation of the network or violates the rules and</t>
  </si>
  <si>
    <t>protocols for communication across the network.</t>
  </si>
  <si>
    <t xml:space="preserve">  Corresponding Source conveyed, and Installation Information provided,</t>
  </si>
  <si>
    <t>in accord with this section must be in a format that is publicly</t>
  </si>
  <si>
    <t>documented (and with an implementation available to the public in</t>
  </si>
  <si>
    <t>source code form), and must require no special password or key for</t>
  </si>
  <si>
    <t>unpacking, reading or copying.</t>
  </si>
  <si>
    <t xml:space="preserve">  7. Additional Terms.</t>
  </si>
  <si>
    <t xml:space="preserve">  "Additional permissions" are terms that supplement the terms of this</t>
  </si>
  <si>
    <t>License by making exceptions from one or more of its conditions.</t>
  </si>
  <si>
    <t>Additional permissions that are applicable to the entire Program shall</t>
  </si>
  <si>
    <t>be treated as though they were included in this License, to the extent</t>
  </si>
  <si>
    <t>that they are valid under applicable law.  If additional permissions</t>
  </si>
  <si>
    <t>apply only to part of the Program, that part may be used separately</t>
  </si>
  <si>
    <t>under those permissions, but the entire Program remains governed by</t>
  </si>
  <si>
    <t>this License without regard to the additional permissions.</t>
  </si>
  <si>
    <t xml:space="preserve">  When you convey a copy of a covered work, you may at your option</t>
  </si>
  <si>
    <t>remove any additional permissions from that copy, or from any part of</t>
  </si>
  <si>
    <t>it.  (Additional permissions may be written to require their own</t>
  </si>
  <si>
    <t>removal in certain cases when you modify the work.)  You may place</t>
  </si>
  <si>
    <t>additional permissions on material, added by you to a covered work,</t>
  </si>
  <si>
    <t>for which you have or can give appropriate copyright permission.</t>
  </si>
  <si>
    <t xml:space="preserve">  Notwithstanding any other provision of this License, for material you</t>
  </si>
  <si>
    <t>add to a covered work, you may (if authorized by the copyright holders of</t>
  </si>
  <si>
    <t>that material) supplement the terms of this License with terms:</t>
  </si>
  <si>
    <t xml:space="preserve">    a) Disclaiming warranty or limiting liability differently from the</t>
  </si>
  <si>
    <t xml:space="preserve">    terms of sections 15 and 16 of this License; or</t>
  </si>
  <si>
    <t xml:space="preserve">    b) Requiring preservation of specified reasonable legal notices or</t>
  </si>
  <si>
    <t xml:space="preserve">    author attributions in that material or in the Appropriate Legal</t>
  </si>
  <si>
    <t xml:space="preserve">    Notices displayed by works containing it; or</t>
  </si>
  <si>
    <t xml:space="preserve">    c) Prohibiting misrepresentation of the origin of that material, or</t>
  </si>
  <si>
    <t xml:space="preserve">    requiring that modified versions of such material be marked in</t>
  </si>
  <si>
    <t xml:space="preserve">    reasonable ways as different from the original version; or</t>
  </si>
  <si>
    <t xml:space="preserve">    d) Limiting the use for publicity purposes of names of licensors or</t>
  </si>
  <si>
    <t xml:space="preserve">    authors of the material; or</t>
  </si>
  <si>
    <t xml:space="preserve">    e) Declining to grant rights under trademark law for use of some</t>
  </si>
  <si>
    <t xml:space="preserve">    trade names, trademarks, or service marks; or</t>
  </si>
  <si>
    <t xml:space="preserve">    f) Requiring indemnification of licensors and authors of that</t>
  </si>
  <si>
    <t xml:space="preserve">    material by anyone who conveys the material (or modified versions of</t>
  </si>
  <si>
    <t xml:space="preserve">    it) with contractual assumptions of liability to the recipient, for</t>
  </si>
  <si>
    <t xml:space="preserve">    any liability that these contractual assumptions directly impose on</t>
  </si>
  <si>
    <t xml:space="preserve">    those licensors and authors.</t>
  </si>
  <si>
    <t xml:space="preserve">  All other non-permissive additional terms are considered "further</t>
  </si>
  <si>
    <t>restrictions" within the meaning of section 10.  If the Program as you</t>
  </si>
  <si>
    <t>received it, or any part of it, contains a notice stating that it is</t>
  </si>
  <si>
    <t>governed by this License along with a term that is a further</t>
  </si>
  <si>
    <t>restriction, you may remove that term.  If a license document contains</t>
  </si>
  <si>
    <t>a further restriction but permits relicensing or conveying under this</t>
  </si>
  <si>
    <t>License, you may add to a covered work material governed by the terms</t>
  </si>
  <si>
    <t>of that license document, provided that the further restriction does</t>
  </si>
  <si>
    <t>not survive such relicensing or conveying.</t>
  </si>
  <si>
    <t xml:space="preserve">  If you add terms to a covered work in accord with this section, you</t>
  </si>
  <si>
    <t>must place, in the relevant source files, a statement of the</t>
  </si>
  <si>
    <t>additional terms that apply to those files, or a notice indicating</t>
  </si>
  <si>
    <t>where to find the applicable terms.</t>
  </si>
  <si>
    <t xml:space="preserve">  Additional terms, permissive or non-permissive, may be stated in the</t>
  </si>
  <si>
    <t>form of a separately written license, or stated as exceptions;</t>
  </si>
  <si>
    <t>the above requirements apply either way.</t>
  </si>
  <si>
    <t xml:space="preserve">  8. Termination.</t>
  </si>
  <si>
    <t xml:space="preserve">  You may not propagate or modify a covered work except as expressly</t>
  </si>
  <si>
    <t>provided under this License.  Any attempt otherwise to propagate or</t>
  </si>
  <si>
    <t>modify it is void, and will automatically terminate your rights under</t>
  </si>
  <si>
    <t>this License (including any patent licenses granted under the third</t>
  </si>
  <si>
    <t>paragraph of section 11).</t>
  </si>
  <si>
    <t xml:space="preserve">  However, if you cease all violation of this License, then your</t>
  </si>
  <si>
    <t>license from a particular copyright holder is reinstated (a)</t>
  </si>
  <si>
    <t>provisionally, unless and until the copyright holder explicitly and</t>
  </si>
  <si>
    <t>finally terminates your license, and (b) permanently, if the copyright</t>
  </si>
  <si>
    <t>holder fails to notify you of the violation by some reasonable means</t>
  </si>
  <si>
    <t>prior to 60 days after the cessation.</t>
  </si>
  <si>
    <t xml:space="preserve">  Moreover, your license from a particular copyright holder is</t>
  </si>
  <si>
    <t>reinstated permanently if the copyright holder notifies you of the</t>
  </si>
  <si>
    <t>violation by some reasonable means, this is the first time you have</t>
  </si>
  <si>
    <t>received notice of violation of this License (for any work) from that</t>
  </si>
  <si>
    <t>copyright holder, and you cure the violation prior to 30 days after</t>
  </si>
  <si>
    <t>your receipt of the notice.</t>
  </si>
  <si>
    <t xml:space="preserve">  Termination of your rights under this section does not terminate the</t>
  </si>
  <si>
    <t>licenses of parties who have received copies or rights from you under</t>
  </si>
  <si>
    <t>this License.  If your rights have been terminated and not permanently</t>
  </si>
  <si>
    <t>reinstated, you do not qualify to receive new licenses for the same</t>
  </si>
  <si>
    <t>material under section 10.</t>
  </si>
  <si>
    <t xml:space="preserve">  9. Acceptance Not Required for Having Copies.</t>
  </si>
  <si>
    <t xml:space="preserve">  You are not required to accept this License in order to receive or</t>
  </si>
  <si>
    <t>run a copy of the Program.  Ancillary propagation of a covered work</t>
  </si>
  <si>
    <t>occurring solely as a consequence of using peer-to-peer transmission</t>
  </si>
  <si>
    <t>to receive a copy likewise does not require acceptance.  However,</t>
  </si>
  <si>
    <t>nothing other than this License grants you permission to propagate or</t>
  </si>
  <si>
    <t>modify any covered work.  These actions infringe copyright if you do</t>
  </si>
  <si>
    <t>not accept this License.  Therefore, by modifying or propagating a</t>
  </si>
  <si>
    <t>covered work, you indicate your acceptance of this License to do so.</t>
  </si>
  <si>
    <t xml:space="preserve">  10. Automatic Licensing of Downstream Recipients.</t>
  </si>
  <si>
    <t xml:space="preserve">  Each time you convey a covered work, the recipient automatically</t>
  </si>
  <si>
    <t>receives a license from the original licensors, to run, modify and</t>
  </si>
  <si>
    <t>propagate that work, subject to this License.  You are not responsible</t>
  </si>
  <si>
    <t>for enforcing compliance by third parties with this License.</t>
  </si>
  <si>
    <t xml:space="preserve">  An "entity transaction" is a transaction transferring control of an</t>
  </si>
  <si>
    <t>organization, or substantially all assets of one, or subdividing an</t>
  </si>
  <si>
    <t>organization, or merging organizations.  If propagation of a covered</t>
  </si>
  <si>
    <t>work results from an entity transaction, each party to that</t>
  </si>
  <si>
    <t>transaction who receives a copy of the work also receives whatever</t>
  </si>
  <si>
    <t>licenses to the work the party's predecessor in interest had or could</t>
  </si>
  <si>
    <t>give under the previous paragraph, plus a right to possession of the</t>
  </si>
  <si>
    <t>Corresponding Source of the work from the predecessor in interest, if</t>
  </si>
  <si>
    <t>the predecessor has it or can get it with reasonable efforts.</t>
  </si>
  <si>
    <t xml:space="preserve">  You may not impose any further restrictions on the exercise of the</t>
  </si>
  <si>
    <t>rights granted or affirmed under this License.  For example, you may</t>
  </si>
  <si>
    <t>not impose a license fee, royalty, or other charge for exercise of</t>
  </si>
  <si>
    <t>rights granted under this License, and you may not initiate litigation</t>
  </si>
  <si>
    <t>(including a cross-claim or counterclaim in a lawsuit) alleging that</t>
  </si>
  <si>
    <t>any patent claim is infringed by making, using, selling, offering for</t>
  </si>
  <si>
    <t>sale, or importing the Program or any portion of it.</t>
  </si>
  <si>
    <t xml:space="preserve">  11. Patents.</t>
  </si>
  <si>
    <t xml:space="preserve">  A "contributor" is a copyright holder who authorizes use under this</t>
  </si>
  <si>
    <t>License of the Program or a work on which the Program is based.  The</t>
  </si>
  <si>
    <t>work thus licensed is called the contributor's "contributor version".</t>
  </si>
  <si>
    <t xml:space="preserve">  A contributor's "essential patent claims" are all patent claims</t>
  </si>
  <si>
    <t>owned or controlled by the contributor, whether already acquired or</t>
  </si>
  <si>
    <t>hereafter acquired, that would be infringed by some manner, permitted</t>
  </si>
  <si>
    <t>by this License, of making, using, or selling its contributor version,</t>
  </si>
  <si>
    <t>but do not include claims that would be infringed only as a</t>
  </si>
  <si>
    <t>consequence of further modification of the contributor version.  For</t>
  </si>
  <si>
    <t>purposes of this definition, "control" includes the right to grant</t>
  </si>
  <si>
    <t>patent sublicenses in a manner consistent with the requirements of</t>
  </si>
  <si>
    <t>this License.</t>
  </si>
  <si>
    <t xml:space="preserve">  Each contributor grants you a non-exclusive, worldwide, royalty-free</t>
  </si>
  <si>
    <t>patent license under the contributor's essential patent claims, to</t>
  </si>
  <si>
    <t>make, use, sell, offer for sale, import and otherwise run, modify and</t>
  </si>
  <si>
    <t>propagate the contents of its contributor version.</t>
  </si>
  <si>
    <t xml:space="preserve">  In the following three paragraphs, a "patent license" is any express</t>
  </si>
  <si>
    <t>agreement or commitment, however denominated, not to enforce a patent</t>
  </si>
  <si>
    <t>(such as an express permission to practice a patent or covenant not to</t>
  </si>
  <si>
    <t>sue for patent infringement).  To "grant" such a patent license to a</t>
  </si>
  <si>
    <t>party means to make such an agreement or commitment not to enforce a</t>
  </si>
  <si>
    <t>patent against the party.</t>
  </si>
  <si>
    <t xml:space="preserve">  If you convey a covered work, knowingly relying on a patent license,</t>
  </si>
  <si>
    <t>and the Corresponding Source of the work is not available for anyone</t>
  </si>
  <si>
    <t>to copy, free of charge and under the terms of this License, through a</t>
  </si>
  <si>
    <t>publicly available network server or other readily accessible means,</t>
  </si>
  <si>
    <t>then you must either (1) cause the Corresponding Source to be so</t>
  </si>
  <si>
    <t>available, or (2) arrange to deprive yourself of the benefit of the</t>
  </si>
  <si>
    <t>patent license for this particular work, or (3) arrange, in a manner</t>
  </si>
  <si>
    <t>consistent with the requirements of this License, to extend the patent</t>
  </si>
  <si>
    <t>license to downstream recipients.  "Knowingly relying" means you have</t>
  </si>
  <si>
    <t>actual knowledge that, but for the patent license, your conveying the</t>
  </si>
  <si>
    <t>covered work in a country, or your recipient's use of the covered work</t>
  </si>
  <si>
    <t>in a country, would infringe one or more identifiable patents in that</t>
  </si>
  <si>
    <t>country that you have reason to believe are valid.</t>
  </si>
  <si>
    <t xml:space="preserve">  If, pursuant to or in connection with a single transaction or</t>
  </si>
  <si>
    <t>arrangement, you convey, or propagate by procuring conveyance of, a</t>
  </si>
  <si>
    <t>covered work, and grant a patent license to some of the parties</t>
  </si>
  <si>
    <t>receiving the covered work authorizing them to use, propagate, modify</t>
  </si>
  <si>
    <t>or convey a specific copy of the covered work, then the patent license</t>
  </si>
  <si>
    <t>you grant is automatically extended to all recipients of the covered</t>
  </si>
  <si>
    <t>work and works based on it.</t>
  </si>
  <si>
    <t xml:space="preserve">  A patent license is "discriminatory" if it does not include within</t>
  </si>
  <si>
    <t>the scope of its coverage, prohibits the exercise of, or is</t>
  </si>
  <si>
    <t>conditioned on the non-exercise of one or more of the rights that are</t>
  </si>
  <si>
    <t>specifically granted under this License.  You may not convey a covered</t>
  </si>
  <si>
    <t>work if you are a party to an arrangement with a third party that is</t>
  </si>
  <si>
    <t>in the business of distributing software, under which you make payment</t>
  </si>
  <si>
    <t>to the third party based on the extent of your activity of conveying</t>
  </si>
  <si>
    <t>the work, and under which the third party grants, to any of the</t>
  </si>
  <si>
    <t>parties who would receive the covered work from you, a discriminatory</t>
  </si>
  <si>
    <t>patent license (a) in connection with copies of the covered work</t>
  </si>
  <si>
    <t>conveyed by you (or copies made from those copies), or (b) primarily</t>
  </si>
  <si>
    <t>for and in connection with specific products or compilations that</t>
  </si>
  <si>
    <t>contain the covered work, unless you entered into that arrangement,</t>
  </si>
  <si>
    <t>or that patent license was granted, prior to 28 March 2007.</t>
  </si>
  <si>
    <t xml:space="preserve">  Nothing in this License shall be construed as excluding or limiting</t>
  </si>
  <si>
    <t>any implied license or other defenses to infringement that may</t>
  </si>
  <si>
    <t>otherwise be available to you under applicable patent law.</t>
  </si>
  <si>
    <t xml:space="preserve">  12. No Surrender of Others' Freedom.</t>
  </si>
  <si>
    <t xml:space="preserve">  If conditions are imposed on you (whether by court order, agreement or</t>
  </si>
  <si>
    <t>otherwise) that contradict the conditions of this License, they do not</t>
  </si>
  <si>
    <t>excuse you from the conditions of this License.  If you cannot convey a</t>
  </si>
  <si>
    <t>covered work so as to satisfy simultaneously your obligations under this</t>
  </si>
  <si>
    <t>License and any other pertinent obligations, then as a consequence you may</t>
  </si>
  <si>
    <t>not convey it at all.  For example, if you agree to terms that obligate you</t>
  </si>
  <si>
    <t>to collect a royalty for further conveying from those to whom you convey</t>
  </si>
  <si>
    <t>the Program, the only way you could satisfy both those terms and this</t>
  </si>
  <si>
    <t>License would be to refrain entirely from conveying the Program.</t>
  </si>
  <si>
    <t xml:space="preserve">  13. Use with the GNU Affero General Public License.</t>
  </si>
  <si>
    <t xml:space="preserve">  Notwithstanding any other provision of this License, you have</t>
  </si>
  <si>
    <t>permission to link or combine any covered work with a work licensed</t>
  </si>
  <si>
    <t>under version 3 of the GNU Affero General Public License into a single</t>
  </si>
  <si>
    <t>combined work, and to convey the resulting work.  The terms of this</t>
  </si>
  <si>
    <t>License will continue to apply to the part which is the covered work,</t>
  </si>
  <si>
    <t>but the special requirements of the GNU Affero General Public License,</t>
  </si>
  <si>
    <t>section 13, concerning interaction through a network will apply to the</t>
  </si>
  <si>
    <t>combination as such.</t>
  </si>
  <si>
    <t xml:space="preserve">  14. Revised Versions of this License.</t>
  </si>
  <si>
    <t xml:space="preserve">  The Free Software Foundation may publish revised and/or new versions of</t>
  </si>
  <si>
    <t>the GNU General Public License from time to time.  Such new versions will</t>
  </si>
  <si>
    <t>be similar in spirit to the present version, but may differ in detail to</t>
  </si>
  <si>
    <t>address new problems or concerns.</t>
  </si>
  <si>
    <t xml:space="preserve">  Each version is given a distinguishing version number.  If the</t>
  </si>
  <si>
    <t>Program specifies that a certain numbered version of the GNU General</t>
  </si>
  <si>
    <t>Public License "or any later version" applies to it, you have the</t>
  </si>
  <si>
    <t>option of following the terms and conditions either of that numbered</t>
  </si>
  <si>
    <t>version or of any later version published by the Free Software</t>
  </si>
  <si>
    <t>Foundation.  If the Program does not specify a version number of the</t>
  </si>
  <si>
    <t>GNU General Public License, you may choose any version ever published</t>
  </si>
  <si>
    <t>by the Free Software Foundation.</t>
  </si>
  <si>
    <t xml:space="preserve">  If the Program specifies that a proxy can decide which future</t>
  </si>
  <si>
    <t>versions of the GNU General Public License can be used, that proxy's</t>
  </si>
  <si>
    <t>public statement of acceptance of a version permanently authorizes you</t>
  </si>
  <si>
    <t>to choose that version for the Program.</t>
  </si>
  <si>
    <t xml:space="preserve">  Later license versions may give you additional or different</t>
  </si>
  <si>
    <t>permissions.  However, no additional obligations are imposed on any</t>
  </si>
  <si>
    <t>author or copyright holder as a result of your choosing to follow a</t>
  </si>
  <si>
    <t>later version.</t>
  </si>
  <si>
    <t xml:space="preserve">  15. Disclaimer of Warranty.</t>
  </si>
  <si>
    <t xml:space="preserve">  THERE IS NO WARRANTY FOR THE PROGRAM, TO THE EXTENT PERMITTED BY</t>
  </si>
  <si>
    <t>APPLICABLE LAW.  EXCEPT WHEN OTHERWISE STATED IN WRITING THE COPYRIGHT</t>
  </si>
  <si>
    <t>HOLDERS AND/OR OTHER PARTIES PROVIDE THE PROGRAM "AS IS" WITHOUT WARRANTY</t>
  </si>
  <si>
    <t>OF ANY KIND, EITHER EXPRESSED OR IMPLIED, INCLUDING, BUT NOT LIMITED TO,</t>
  </si>
  <si>
    <t>THE IMPLIED WARRANTIES OF MERCHANTABILITY AND FITNESS FOR A PARTICULAR</t>
  </si>
  <si>
    <t>PURPOSE.  THE ENTIRE RISK AS TO THE QUALITY AND PERFORMANCE OF THE PROGRAM</t>
  </si>
  <si>
    <t>IS WITH YOU.  SHOULD THE PROGRAM PROVE DEFECTIVE, YOU ASSUME THE COST OF</t>
  </si>
  <si>
    <t>ALL NECESSARY SERVICING, REPAIR OR CORRECTION.</t>
  </si>
  <si>
    <t xml:space="preserve">  16. Limitation of Liability.</t>
  </si>
  <si>
    <t xml:space="preserve">  IN NO EVENT UNLESS REQUIRED BY APPLICABLE LAW OR AGREED TO IN WRITING</t>
  </si>
  <si>
    <t>WILL ANY COPYRIGHT HOLDER, OR ANY OTHER PARTY WHO MODIFIES AND/OR CONVEYS</t>
  </si>
  <si>
    <t>THE PROGRAM AS PERMITTED ABOVE, BE LIABLE TO YOU FOR DAMAGES, INCLUDING ANY</t>
  </si>
  <si>
    <t>GENERAL, SPECIAL, INCIDENTAL OR CONSEQUENTIAL DAMAGES ARISING OUT OF THE</t>
  </si>
  <si>
    <t>USE OR INABILITY TO USE THE PROGRAM (INCLUDING BUT NOT LIMITED TO LOSS OF</t>
  </si>
  <si>
    <t>DATA OR DATA BEING RENDERED INACCURATE OR LOSSES SUSTAINED BY YOU OR THIRD</t>
  </si>
  <si>
    <t>PARTIES OR A FAILURE OF THE PROGRAM TO OPERATE WITH ANY OTHER PROGRAMS),</t>
  </si>
  <si>
    <t>EVEN IF SUCH HOLDER OR OTHER PARTY HAS BEEN ADVISED OF THE POSSIBILITY OF</t>
  </si>
  <si>
    <t>SUCH DAMAGES.</t>
  </si>
  <si>
    <t xml:space="preserve">  17. Interpretation of Sections 15 and 16.</t>
  </si>
  <si>
    <t xml:space="preserve">  If the disclaimer of warranty and limitation of liability provided</t>
  </si>
  <si>
    <t>above cannot be given local legal effect according to their terms,</t>
  </si>
  <si>
    <t>reviewing courts shall apply local law that most closely approximates</t>
  </si>
  <si>
    <t>an absolute waiver of all civil liability in connection with the</t>
  </si>
  <si>
    <t>Program, unless a warranty or assumption of liability accompanies a</t>
  </si>
  <si>
    <t>copy of the Program in return for a fee.</t>
  </si>
  <si>
    <t xml:space="preserve">                     END OF TERMS AND CONDITIONS</t>
  </si>
  <si>
    <t xml:space="preserve">                     GNU GENERAL PUBLIC LICENSE</t>
  </si>
  <si>
    <t>On both verbatim and modified copies of this file, you must always retain the original copyright notice,</t>
  </si>
  <si>
    <t>including the author's name, copyright year, and a notice that this file is licensed under the GNU General Public License.</t>
  </si>
  <si>
    <t>This file is distributed in the hope that it will be useful, but WITHOUT ANY WARRANTY;</t>
  </si>
  <si>
    <r>
      <rPr>
        <sz val="11"/>
        <color theme="0" tint="-0.499984740745262"/>
        <rFont val="Calibri"/>
        <family val="2"/>
      </rPr>
      <t>↑</t>
    </r>
    <r>
      <rPr>
        <i/>
        <sz val="11"/>
        <color theme="0" tint="-0.499984740745262"/>
        <rFont val="Calibri"/>
        <family val="2"/>
      </rPr>
      <t xml:space="preserve"> </t>
    </r>
    <r>
      <rPr>
        <i/>
        <sz val="11"/>
        <color theme="0" tint="-0.499984740745262"/>
        <rFont val="Calibri"/>
        <family val="2"/>
        <scheme val="minor"/>
      </rPr>
      <t>Rows 36 through 138 are hidden; they are used to create the bell-curve Sparkline</t>
    </r>
  </si>
  <si>
    <r>
      <t xml:space="preserve">attendees experienced </t>
    </r>
    <r>
      <rPr>
        <b/>
        <sz val="12"/>
        <color theme="1"/>
        <rFont val="Calibri"/>
        <family val="2"/>
        <scheme val="minor"/>
      </rPr>
      <t>Collabinart®</t>
    </r>
    <r>
      <rPr>
        <i/>
        <sz val="11"/>
        <color theme="1"/>
        <rFont val="Calibri"/>
        <family val="2"/>
        <scheme val="minor"/>
      </rPr>
      <t xml:space="preserve">.  </t>
    </r>
  </si>
  <si>
    <t>See the GNU General Public License for more details (https://www.gnu.org/licenses/).</t>
  </si>
  <si>
    <r>
      <t>Collabinart®</t>
    </r>
    <r>
      <rPr>
        <i/>
        <sz val="22"/>
        <color theme="1" tint="0.34998626667073579"/>
        <rFont val="Calibri"/>
        <family val="2"/>
        <scheme val="minor"/>
      </rPr>
      <t xml:space="preserve"> </t>
    </r>
    <r>
      <rPr>
        <b/>
        <i/>
        <sz val="22"/>
        <color theme="1" tint="0.34998626667073579"/>
        <rFont val="Calibri"/>
        <family val="2"/>
        <scheme val="minor"/>
      </rPr>
      <t xml:space="preserve"> </t>
    </r>
    <r>
      <rPr>
        <b/>
        <i/>
        <sz val="11"/>
        <color theme="1" tint="0.34998626667073579"/>
        <rFont val="Calibri"/>
        <family val="2"/>
        <scheme val="minor"/>
      </rPr>
      <t>Experience Collaboration through Interpretive Art™</t>
    </r>
  </si>
  <si>
    <r>
      <t>The Young Shepherdess</t>
    </r>
    <r>
      <rPr>
        <sz val="11"/>
        <color theme="1" tint="0.499984740745262"/>
        <rFont val="Calibri"/>
        <family val="2"/>
        <scheme val="minor"/>
      </rPr>
      <t xml:space="preserve"> (1865)</t>
    </r>
  </si>
  <si>
    <t>William-Adolphe Bouguereau</t>
  </si>
  <si>
    <t>San Diego Museum of Art</t>
  </si>
  <si>
    <t>Your SD</t>
  </si>
  <si>
    <r>
      <t xml:space="preserve">          Statistical PERT</t>
    </r>
    <r>
      <rPr>
        <b/>
        <sz val="14"/>
        <color theme="1"/>
        <rFont val="Calibri"/>
        <family val="2"/>
      </rPr>
      <t>®</t>
    </r>
    <r>
      <rPr>
        <b/>
        <sz val="14"/>
        <color theme="1"/>
        <rFont val="Calibri"/>
        <family val="2"/>
        <scheme val="minor"/>
      </rPr>
      <t xml:space="preserve"> (SPERT®) </t>
    </r>
    <r>
      <rPr>
        <b/>
        <i/>
        <sz val="14"/>
        <color rgb="FFF1592A"/>
        <rFont val="Calibri"/>
        <family val="2"/>
        <scheme val="minor"/>
      </rPr>
      <t xml:space="preserve">Normal Edition </t>
    </r>
    <r>
      <rPr>
        <i/>
        <sz val="14"/>
        <color theme="1" tint="0.499984740745262"/>
        <rFont val="Calibri"/>
        <family val="2"/>
        <scheme val="minor"/>
      </rPr>
      <t>Change Log</t>
    </r>
  </si>
  <si>
    <t>With a confidence interval of</t>
  </si>
  <si>
    <t>the lowerbound threshold is</t>
  </si>
  <si>
    <r>
      <t xml:space="preserve">          Statistical PERT</t>
    </r>
    <r>
      <rPr>
        <b/>
        <sz val="14"/>
        <color theme="1"/>
        <rFont val="Calibri"/>
        <family val="2"/>
      </rPr>
      <t>®</t>
    </r>
    <r>
      <rPr>
        <b/>
        <sz val="14"/>
        <color theme="1"/>
        <rFont val="Calibri"/>
        <family val="2"/>
        <scheme val="minor"/>
      </rPr>
      <t xml:space="preserve"> (SPERT®) </t>
    </r>
    <r>
      <rPr>
        <b/>
        <i/>
        <sz val="14"/>
        <color rgb="FFF1592A"/>
        <rFont val="Calibri"/>
        <family val="2"/>
        <scheme val="minor"/>
      </rPr>
      <t>Normal Edition</t>
    </r>
    <r>
      <rPr>
        <b/>
        <sz val="14"/>
        <color theme="1"/>
        <rFont val="Calibri"/>
        <family val="2"/>
        <scheme val="minor"/>
      </rPr>
      <t xml:space="preserve"> </t>
    </r>
    <r>
      <rPr>
        <i/>
        <sz val="14"/>
        <color theme="1" tint="0.499984740745262"/>
        <rFont val="Calibri"/>
        <family val="2"/>
        <scheme val="minor"/>
      </rPr>
      <t>VLOOKUP lists of values</t>
    </r>
  </si>
  <si>
    <t>Very high confidence</t>
  </si>
  <si>
    <t>Very low confidence</t>
  </si>
  <si>
    <t>Extremely low confidence</t>
  </si>
  <si>
    <t>Information only.  Shows the number of trials out of 100 used to create RSMs (see Ratio Scale Modeler)</t>
  </si>
  <si>
    <r>
      <rPr>
        <i/>
        <sz val="12"/>
        <color theme="1"/>
        <rFont val="Calibri"/>
        <family val="2"/>
        <scheme val="minor"/>
      </rPr>
      <t>Enter your uncertainty's</t>
    </r>
    <r>
      <rPr>
        <sz val="12"/>
        <color theme="1"/>
        <rFont val="Calibri"/>
        <family val="2"/>
        <scheme val="minor"/>
      </rPr>
      <t xml:space="preserve"> </t>
    </r>
    <r>
      <rPr>
        <b/>
        <sz val="12"/>
        <color theme="1"/>
        <rFont val="Calibri"/>
        <family val="2"/>
        <scheme val="minor"/>
      </rPr>
      <t xml:space="preserve">most likely </t>
    </r>
    <r>
      <rPr>
        <i/>
        <sz val="12"/>
        <color theme="1"/>
        <rFont val="Calibri"/>
        <family val="2"/>
        <scheme val="minor"/>
      </rPr>
      <t>value</t>
    </r>
    <r>
      <rPr>
        <sz val="12"/>
        <color theme="1"/>
        <rFont val="Calibri"/>
        <family val="2"/>
        <scheme val="minor"/>
      </rPr>
      <t xml:space="preserve"> →</t>
    </r>
  </si>
  <si>
    <t>What's the most-likely-to-occur value or outcome for your uncertainty?</t>
  </si>
  <si>
    <t>Show the percentage of simulated trials that EXCEEDED the SPERT estimates above</t>
  </si>
  <si>
    <t>Show the percentage of simulated trials that were LESS THAN or EQUAL TO the SPERT estimates above</t>
  </si>
  <si>
    <t>© 2015-2020, William W. Davis, MSPM, PMP</t>
  </si>
  <si>
    <t>Arrival Date</t>
  </si>
  <si>
    <t>Departure Date</t>
  </si>
  <si>
    <t>Days in DC</t>
  </si>
  <si>
    <r>
      <rPr>
        <sz val="11"/>
        <color theme="0" tint="-0.499984740745262"/>
        <rFont val="Calibri"/>
        <family val="2"/>
      </rPr>
      <t>←</t>
    </r>
    <r>
      <rPr>
        <i/>
        <sz val="11"/>
        <color theme="0" tint="-0.499984740745262"/>
        <rFont val="Calibri"/>
        <family val="2"/>
      </rPr>
      <t xml:space="preserve"> Columns</t>
    </r>
    <r>
      <rPr>
        <i/>
        <sz val="11"/>
        <color theme="0" tint="-0.499984740745262"/>
        <rFont val="Calibri"/>
        <family val="2"/>
        <scheme val="minor"/>
      </rPr>
      <t xml:space="preserve"> U through PI are hidden; they are used to create Sparklines and the bell-curve bar chart</t>
    </r>
  </si>
  <si>
    <t>Chart Zoom</t>
  </si>
  <si>
    <t xml:space="preserve">NORM.DIST and NORM.INV functions to model the uncertainty of visiting Washington, D.C. during the </t>
  </si>
  <si>
    <t>Years</t>
  </si>
  <si>
    <t>Arrival Day #</t>
  </si>
  <si>
    <t>Departure Day #</t>
  </si>
  <si>
    <t>The uncertainty of when the cherry blossom peak will occur can be fitted to several different probability</t>
  </si>
  <si>
    <t>distributions, including the triangular (best fit), PERT/beta, and normal.  This spreadsheet uses the normal</t>
  </si>
  <si>
    <t xml:space="preserve">Because the last 100 years of cherry blossom peaks indicate an asymmetrical uncertainty, the resulting </t>
  </si>
  <si>
    <t>probabilities of this model are imperfect. However, the imperfection of this model is unlikely to cause a</t>
  </si>
  <si>
    <t>distribution. This forecast model is based on the Statistical PERT® Normal Edition (version 4.3.2).</t>
  </si>
  <si>
    <r>
      <rPr>
        <i/>
        <sz val="12"/>
        <color theme="1"/>
        <rFont val="Calibri"/>
        <family val="2"/>
        <scheme val="minor"/>
      </rPr>
      <t xml:space="preserve">Enter your </t>
    </r>
    <r>
      <rPr>
        <b/>
        <sz val="12"/>
        <color theme="1"/>
        <rFont val="Calibri"/>
        <family val="2"/>
        <scheme val="minor"/>
      </rPr>
      <t>arrival date</t>
    </r>
    <r>
      <rPr>
        <sz val="12"/>
        <color theme="1"/>
        <rFont val="Calibri"/>
        <family val="2"/>
        <scheme val="minor"/>
      </rPr>
      <t xml:space="preserve"> </t>
    </r>
    <r>
      <rPr>
        <sz val="12"/>
        <color theme="1"/>
        <rFont val="Calibri"/>
        <family val="2"/>
      </rPr>
      <t>→</t>
    </r>
  </si>
  <si>
    <r>
      <rPr>
        <i/>
        <sz val="12"/>
        <color theme="1"/>
        <rFont val="Calibri"/>
        <family val="2"/>
        <scheme val="minor"/>
      </rPr>
      <t xml:space="preserve">Enter your </t>
    </r>
    <r>
      <rPr>
        <b/>
        <sz val="12"/>
        <color theme="1"/>
        <rFont val="Calibri"/>
        <family val="2"/>
        <scheme val="minor"/>
      </rPr>
      <t>departure date</t>
    </r>
    <r>
      <rPr>
        <sz val="12"/>
        <color theme="1"/>
        <rFont val="Calibri"/>
        <family val="2"/>
        <scheme val="minor"/>
      </rPr>
      <t xml:space="preserve"> </t>
    </r>
    <r>
      <rPr>
        <sz val="12"/>
        <color theme="1"/>
        <rFont val="Calibri"/>
        <family val="2"/>
      </rPr>
      <t>→</t>
    </r>
  </si>
  <si>
    <r>
      <t>Statistical PERT</t>
    </r>
    <r>
      <rPr>
        <b/>
        <sz val="18"/>
        <color theme="1"/>
        <rFont val="Calibri"/>
        <family val="2"/>
      </rPr>
      <t>®</t>
    </r>
    <r>
      <rPr>
        <b/>
        <sz val="18"/>
        <color theme="1"/>
        <rFont val="Calibri"/>
        <family val="2"/>
        <scheme val="minor"/>
      </rPr>
      <t xml:space="preserve"> (SPERT®) </t>
    </r>
    <r>
      <rPr>
        <b/>
        <i/>
        <sz val="18"/>
        <color rgb="FFF1592A"/>
        <rFont val="Calibri"/>
        <family val="2"/>
        <scheme val="minor"/>
      </rPr>
      <t xml:space="preserve"> </t>
    </r>
    <r>
      <rPr>
        <b/>
        <i/>
        <sz val="18"/>
        <color rgb="FFC00000"/>
        <rFont val="Calibri"/>
        <family val="2"/>
        <scheme val="minor"/>
      </rPr>
      <t>Cherry Blossom Edition</t>
    </r>
    <r>
      <rPr>
        <b/>
        <i/>
        <sz val="18"/>
        <color theme="1" tint="0.34998626667073579"/>
        <rFont val="Calibri"/>
        <family val="2"/>
        <scheme val="minor"/>
      </rPr>
      <t xml:space="preserve"> README</t>
    </r>
  </si>
  <si>
    <t>will occur between mid-March and mid-April, with the most likely peak occurring in very early April.</t>
  </si>
  <si>
    <r>
      <t>Statistical PERT</t>
    </r>
    <r>
      <rPr>
        <b/>
        <sz val="18"/>
        <color theme="1"/>
        <rFont val="Calibri"/>
        <family val="2"/>
      </rPr>
      <t>®</t>
    </r>
    <r>
      <rPr>
        <b/>
        <sz val="18"/>
        <color theme="1"/>
        <rFont val="Calibri"/>
        <family val="2"/>
        <scheme val="minor"/>
      </rPr>
      <t xml:space="preserve"> (SPERT®) </t>
    </r>
    <r>
      <rPr>
        <b/>
        <i/>
        <sz val="18"/>
        <color rgb="FFC00000"/>
        <rFont val="Calibri"/>
        <family val="2"/>
        <scheme val="minor"/>
      </rPr>
      <t>Cherry Blossom Edition</t>
    </r>
    <r>
      <rPr>
        <b/>
        <i/>
        <sz val="18"/>
        <color theme="1" tint="0.34998626667073579"/>
        <rFont val="Calibri"/>
        <family val="2"/>
        <scheme val="minor"/>
      </rPr>
      <t xml:space="preserve"> Super Simple SPERT®</t>
    </r>
  </si>
  <si>
    <r>
      <t xml:space="preserve">           Statistical PERT</t>
    </r>
    <r>
      <rPr>
        <b/>
        <sz val="14"/>
        <color theme="1"/>
        <rFont val="Calibri"/>
        <family val="2"/>
      </rPr>
      <t>®</t>
    </r>
    <r>
      <rPr>
        <b/>
        <sz val="14"/>
        <color theme="1"/>
        <rFont val="Calibri"/>
        <family val="2"/>
        <scheme val="minor"/>
      </rPr>
      <t xml:space="preserve"> (SPERT®)  </t>
    </r>
    <r>
      <rPr>
        <b/>
        <i/>
        <sz val="14"/>
        <color rgb="FFC00000"/>
        <rFont val="Calibri"/>
        <family val="2"/>
        <scheme val="minor"/>
      </rPr>
      <t>Cherry Blossom Edition</t>
    </r>
    <r>
      <rPr>
        <b/>
        <sz val="14"/>
        <color rgb="FFC00000"/>
        <rFont val="Calibri"/>
        <family val="2"/>
        <scheme val="minor"/>
      </rPr>
      <t xml:space="preserve"> </t>
    </r>
    <r>
      <rPr>
        <i/>
        <sz val="14"/>
        <color theme="1" tint="0.499984740745262"/>
        <rFont val="Calibri"/>
        <family val="2"/>
        <scheme val="minor"/>
      </rPr>
      <t>Using History Since 1921</t>
    </r>
  </si>
  <si>
    <t>uncertainty of when the cherry blossoms in Washington D.C. will reach their annual peak. Historically, the peak</t>
  </si>
  <si>
    <t>material change to someone who is planning a spring visit to Washington D.C. to see the cherry blossoms.</t>
  </si>
  <si>
    <t>"Figure 1. Peak Bloom Date for Cherry Trees Around Washington, D.C.'s Tidal Basin, 1921-2021",,,</t>
  </si>
  <si>
    <t>Source: EPA's Climate Change Indicators in the United States: www.epa.gov/climate-indicators,,,</t>
  </si>
  <si>
    <t>"Data source: National Cherry Blossom Festival, 2021;  National Park Service, 2021",,,</t>
  </si>
  <si>
    <t>Web update: April 2021,,,</t>
  </si>
  <si>
    <t>Units: Days from January 1; days from January 1; days duration,,,</t>
  </si>
  <si>
    <t>All Average</t>
  </si>
  <si>
    <t>Last 50 Average</t>
  </si>
  <si>
    <t>Last 25 Average</t>
  </si>
  <si>
    <t>,,,</t>
  </si>
  <si>
    <t>Std Dev</t>
  </si>
  <si>
    <t>Year,Yoshino peak bloom date,Cherry blossom festival start date,Cherry blossom festival duration</t>
  </si>
  <si>
    <t>EPA Data</t>
  </si>
  <si>
    <t>Year</t>
  </si>
  <si>
    <t>Peak</t>
  </si>
  <si>
    <t>Peak Date</t>
  </si>
  <si>
    <t>1921,79,,</t>
  </si>
  <si>
    <t>1922,97,,</t>
  </si>
  <si>
    <t>1923,99,,</t>
  </si>
  <si>
    <t>1924,104,,</t>
  </si>
  <si>
    <t>1925,86,,</t>
  </si>
  <si>
    <t>1926,101,,</t>
  </si>
  <si>
    <t>1927,79,,</t>
  </si>
  <si>
    <t>1928,99,,</t>
  </si>
  <si>
    <t>1929,90,,</t>
  </si>
  <si>
    <t>1930,91,,</t>
  </si>
  <si>
    <t>1931,101,,</t>
  </si>
  <si>
    <t>1932,106,,</t>
  </si>
  <si>
    <t>1933,99,,</t>
  </si>
  <si>
    <t>1934,105,109,2</t>
  </si>
  <si>
    <t>1935,91,93,1</t>
  </si>
  <si>
    <t>1936,98,99,1</t>
  </si>
  <si>
    <t>1937,104,100,1</t>
  </si>
  <si>
    <t>1938,84,85,1</t>
  </si>
  <si>
    <t>1939,89,90,1</t>
  </si>
  <si>
    <t>1940,104,104,1</t>
  </si>
  <si>
    <t>1941,102,102,1</t>
  </si>
  <si>
    <t>1942,95,,</t>
  </si>
  <si>
    <t>1943,94,,</t>
  </si>
  <si>
    <t>1944,100,,</t>
  </si>
  <si>
    <t>1945,79,,</t>
  </si>
  <si>
    <t>1946,82,,</t>
  </si>
  <si>
    <t>1947,102,102,1</t>
  </si>
  <si>
    <t>1948,88,101,1</t>
  </si>
  <si>
    <t>1949,88,92,1</t>
  </si>
  <si>
    <t>1950,99,98,1</t>
  </si>
  <si>
    <t>1951,96,97,1</t>
  </si>
  <si>
    <t>1952,100,96,1</t>
  </si>
  <si>
    <t>1953,86,101,1</t>
  </si>
  <si>
    <t>1954,96,93,1</t>
  </si>
  <si>
    <t>1955,92,92,1</t>
  </si>
  <si>
    <t>1956,97,98,1</t>
  </si>
  <si>
    <t>1957,98,96,1</t>
  </si>
  <si>
    <t>1958,108,88,1</t>
  </si>
  <si>
    <t>1959,96,97,5</t>
  </si>
  <si>
    <t>1960,105,96,5</t>
  </si>
  <si>
    <t>1961,92,94,5</t>
  </si>
  <si>
    <t>1962,97,93,5</t>
  </si>
  <si>
    <t>1963,93,92,5</t>
  </si>
  <si>
    <t>1964,102,98,5</t>
  </si>
  <si>
    <t>1965,105,96,5</t>
  </si>
  <si>
    <t>1966,95,102,5</t>
  </si>
  <si>
    <t>1967,96,94,5</t>
  </si>
  <si>
    <t>1968,90,92,6</t>
  </si>
  <si>
    <t>1969,99,98,5</t>
  </si>
  <si>
    <t>1970,106,97,5</t>
  </si>
  <si>
    <t>1971,98,89,5</t>
  </si>
  <si>
    <t>1972,102,94,5</t>
  </si>
  <si>
    <t>1973,101,96,7</t>
  </si>
  <si>
    <t>1974,93,89,6</t>
  </si>
  <si>
    <t>1975,93,90,5</t>
  </si>
  <si>
    <t>1976,83,96,5</t>
  </si>
  <si>
    <t>1977,85,87,5</t>
  </si>
  <si>
    <t>1978,102,93,5</t>
  </si>
  <si>
    <t>1979,92,92,5</t>
  </si>
  <si>
    <t>1980,97,84,5</t>
  </si>
  <si>
    <t>1981,93,89,5</t>
  </si>
  <si>
    <t>1982,97,87,6</t>
  </si>
  <si>
    <t>1983,97,94,6</t>
  </si>
  <si>
    <t>1984,94,92,6</t>
  </si>
  <si>
    <t>1985,97,97,6</t>
  </si>
  <si>
    <t>1986,92,96,6</t>
  </si>
  <si>
    <t>1987,87,95,6</t>
  </si>
  <si>
    <t>1988,91,94,7</t>
  </si>
  <si>
    <t>1989,88,92,7</t>
  </si>
  <si>
    <t>1990,74,91,7</t>
  </si>
  <si>
    <t>1991,88,90,7</t>
  </si>
  <si>
    <t>1992,98,96,7</t>
  </si>
  <si>
    <t>1993,101,87,7</t>
  </si>
  <si>
    <t>1994,95,93,7</t>
  </si>
  <si>
    <t>1995,92,85,14</t>
  </si>
  <si>
    <t>1996,95,91,14</t>
  </si>
  <si>
    <t>1997,85,89,14</t>
  </si>
  <si>
    <t>1998,86,88,14</t>
  </si>
  <si>
    <t>1999,95,87,14</t>
  </si>
  <si>
    <t>2000,77,86,14</t>
  </si>
  <si>
    <t>2001,96,84,14</t>
  </si>
  <si>
    <t>2002,92,82,16</t>
  </si>
  <si>
    <t>2003,92,81,16</t>
  </si>
  <si>
    <t>2004,91,87,15</t>
  </si>
  <si>
    <t>2005,99,85,15</t>
  </si>
  <si>
    <t>2006,89,84,15</t>
  </si>
  <si>
    <t>2007,91,90,15</t>
  </si>
  <si>
    <t>2008,86,89,15</t>
  </si>
  <si>
    <t>2009,91,87,15</t>
  </si>
  <si>
    <t>2010,90,86,15</t>
  </si>
  <si>
    <t>2011,88,85,15</t>
  </si>
  <si>
    <t>2012,80,80,38</t>
  </si>
  <si>
    <t>2013,99,79,25</t>
  </si>
  <si>
    <t>2014,100,79,24</t>
  </si>
  <si>
    <t>2015,100,79,23</t>
  </si>
  <si>
    <t>2016,85,80,28</t>
  </si>
  <si>
    <t>2017,84,79,27</t>
  </si>
  <si>
    <t>2018,95,79,26</t>
  </si>
  <si>
    <t>2019,91,79,24</t>
  </si>
  <si>
    <t>2020,80,80,23</t>
  </si>
  <si>
    <t>2021,87,79,22</t>
  </si>
  <si>
    <t>Historical Years</t>
  </si>
  <si>
    <t>All Years</t>
  </si>
  <si>
    <t>Last 50 Years</t>
  </si>
  <si>
    <t>Last 25 Years</t>
  </si>
  <si>
    <t>Average</t>
  </si>
  <si>
    <r>
      <rPr>
        <i/>
        <sz val="12"/>
        <color theme="1"/>
        <rFont val="Calibri"/>
        <family val="2"/>
        <scheme val="minor"/>
      </rPr>
      <t xml:space="preserve">Choose how many </t>
    </r>
    <r>
      <rPr>
        <b/>
        <i/>
        <sz val="12"/>
        <color theme="1"/>
        <rFont val="Calibri"/>
        <family val="2"/>
        <scheme val="minor"/>
      </rPr>
      <t>years of history</t>
    </r>
    <r>
      <rPr>
        <i/>
        <sz val="12"/>
        <color theme="1"/>
        <rFont val="Calibri"/>
        <family val="2"/>
        <scheme val="minor"/>
      </rPr>
      <t xml:space="preserve"> to evaluate</t>
    </r>
    <r>
      <rPr>
        <sz val="12"/>
        <color theme="1"/>
        <rFont val="Calibri"/>
        <family val="2"/>
        <scheme val="minor"/>
      </rPr>
      <t xml:space="preserve"> </t>
    </r>
    <r>
      <rPr>
        <sz val="12"/>
        <color theme="1"/>
        <rFont val="Calibri"/>
        <family val="2"/>
      </rPr>
      <t>→</t>
    </r>
  </si>
  <si>
    <r>
      <rPr>
        <i/>
        <sz val="12"/>
        <color theme="1"/>
        <rFont val="Calibri"/>
        <family val="2"/>
        <scheme val="minor"/>
      </rPr>
      <t>This is the year you're traveling</t>
    </r>
    <r>
      <rPr>
        <sz val="12"/>
        <color theme="1"/>
        <rFont val="Calibri"/>
        <family val="2"/>
        <scheme val="minor"/>
      </rPr>
      <t xml:space="preserve"> </t>
    </r>
    <r>
      <rPr>
        <sz val="12"/>
        <color theme="1"/>
        <rFont val="Calibri"/>
        <family val="2"/>
      </rPr>
      <t>→</t>
    </r>
  </si>
  <si>
    <r>
      <rPr>
        <i/>
        <sz val="12"/>
        <color theme="1"/>
        <rFont val="Calibri"/>
        <family val="2"/>
        <scheme val="minor"/>
      </rPr>
      <t>This is the calendar day you're arriving</t>
    </r>
    <r>
      <rPr>
        <sz val="12"/>
        <color theme="1"/>
        <rFont val="Calibri"/>
        <family val="2"/>
        <scheme val="minor"/>
      </rPr>
      <t xml:space="preserve"> </t>
    </r>
    <r>
      <rPr>
        <sz val="12"/>
        <color theme="1"/>
        <rFont val="Calibri"/>
        <family val="2"/>
      </rPr>
      <t>→</t>
    </r>
  </si>
  <si>
    <r>
      <rPr>
        <i/>
        <sz val="12"/>
        <color theme="1"/>
        <rFont val="Calibri"/>
        <family val="2"/>
        <scheme val="minor"/>
      </rPr>
      <t>This is the calendar day you're departing</t>
    </r>
    <r>
      <rPr>
        <sz val="12"/>
        <color theme="1"/>
        <rFont val="Calibri"/>
        <family val="2"/>
        <scheme val="minor"/>
      </rPr>
      <t xml:space="preserve"> </t>
    </r>
    <r>
      <rPr>
        <sz val="12"/>
        <color theme="1"/>
        <rFont val="Calibri"/>
        <family val="2"/>
      </rPr>
      <t>→</t>
    </r>
  </si>
  <si>
    <r>
      <rPr>
        <i/>
        <sz val="12"/>
        <color theme="1"/>
        <rFont val="Calibri"/>
        <family val="2"/>
        <scheme val="minor"/>
      </rPr>
      <t>This is the first day of the year you're traveling</t>
    </r>
    <r>
      <rPr>
        <sz val="12"/>
        <color theme="1"/>
        <rFont val="Calibri"/>
        <family val="2"/>
        <scheme val="minor"/>
      </rPr>
      <t xml:space="preserve"> </t>
    </r>
    <r>
      <rPr>
        <sz val="12"/>
        <color theme="1"/>
        <rFont val="Calibri"/>
        <family val="2"/>
      </rPr>
      <t>→</t>
    </r>
  </si>
  <si>
    <t>NOT USED IN THIS MODEL!! Render a subjective judgment (your opinion) about HOW LIKELY the Most Likely outcome really is</t>
  </si>
  <si>
    <r>
      <t xml:space="preserve">Visit the </t>
    </r>
    <r>
      <rPr>
        <b/>
        <i/>
        <u/>
        <sz val="11"/>
        <color theme="10"/>
        <rFont val="Calibri"/>
        <family val="2"/>
        <scheme val="minor"/>
      </rPr>
      <t>CherryBlossomWatch.com</t>
    </r>
    <r>
      <rPr>
        <u/>
        <sz val="11"/>
        <color theme="10"/>
        <rFont val="Calibri"/>
        <family val="2"/>
        <scheme val="minor"/>
      </rPr>
      <t xml:space="preserve"> website to get updated forecasts when the peak is just a few weeks away.</t>
    </r>
  </si>
  <si>
    <r>
      <t xml:space="preserve">Visit the </t>
    </r>
    <r>
      <rPr>
        <b/>
        <i/>
        <u/>
        <sz val="11"/>
        <color theme="10"/>
        <rFont val="Calibri"/>
        <family val="2"/>
        <scheme val="minor"/>
      </rPr>
      <t>National Park Service</t>
    </r>
    <r>
      <rPr>
        <u/>
        <sz val="11"/>
        <color theme="10"/>
        <rFont val="Calibri"/>
        <family val="2"/>
        <scheme val="minor"/>
      </rPr>
      <t xml:space="preserve"> website to get the federal government's forecast when the peak is a few weeks away.</t>
    </r>
  </si>
  <si>
    <t>plan a Washington DC trip in 2019. I was frustrated that the National Park Service said, "Forecasting peak bloom</t>
  </si>
  <si>
    <r>
      <rPr>
        <b/>
        <i/>
        <sz val="11"/>
        <color theme="1"/>
        <rFont val="Calibri"/>
        <family val="2"/>
        <scheme val="minor"/>
      </rPr>
      <t xml:space="preserve">Background: </t>
    </r>
    <r>
      <rPr>
        <i/>
        <sz val="11"/>
        <color theme="1"/>
        <rFont val="Calibri"/>
        <family val="2"/>
        <scheme val="minor"/>
      </rPr>
      <t>I created my first cherry blossom forecast using Statistical PERT when my wife and I wanted to</t>
    </r>
  </si>
  <si>
    <t>seeing the peak bloom. In 2019, the peak bloom occurred two days before our arrival, on April 2, but our trip</t>
  </si>
  <si>
    <t>was amazing nonetheless. You don't have to see the cherry blossoms at their full peak to fully enjoy them!</t>
  </si>
  <si>
    <r>
      <t>is almost impossible more than </t>
    </r>
    <r>
      <rPr>
        <b/>
        <i/>
        <sz val="11"/>
        <rFont val="Calibri"/>
        <family val="2"/>
        <scheme val="minor"/>
      </rPr>
      <t>10 days in advance</t>
    </r>
    <r>
      <rPr>
        <i/>
        <sz val="11"/>
        <rFont val="Calibri"/>
        <family val="2"/>
        <scheme val="minor"/>
      </rPr>
      <t xml:space="preserve">." I wanted to plan this trip </t>
    </r>
    <r>
      <rPr>
        <b/>
        <i/>
        <sz val="11"/>
        <rFont val="Calibri"/>
        <family val="2"/>
        <scheme val="minor"/>
      </rPr>
      <t>six months earlier!</t>
    </r>
    <r>
      <rPr>
        <i/>
        <sz val="11"/>
        <rFont val="Calibri"/>
        <family val="2"/>
        <scheme val="minor"/>
      </rPr>
      <t xml:space="preserve"> So I used</t>
    </r>
  </si>
  <si>
    <t>Statistical PERT to calculate the probability of seeing the peak bloom during our 2019 DC trip.</t>
  </si>
  <si>
    <t>I planned to arrive on April 4 and our departure would be on April 9 (5 nights). We had about a 24% chance of</t>
  </si>
  <si>
    <t xml:space="preserve">All photos below are copyrighted in 2019 by William W. Davis, MSPM, PMP. Please do not copy or share without permission. </t>
  </si>
  <si>
    <t>to estimate uncertainties that have bell-shaped risk properties, like:  task duration, work effort, revenue</t>
  </si>
  <si>
    <t xml:space="preserve">expenses, agile story points, project portfolios, event attendance, and more.  </t>
  </si>
  <si>
    <t>Enter your trip details below, then choose how many years of cherry blossom history to use in your forecast</t>
  </si>
  <si>
    <t>bloom based on your travel dates. The other worksheets allow you to tinker with the inputs, but the end result</t>
  </si>
  <si>
    <r>
      <t xml:space="preserve">The </t>
    </r>
    <r>
      <rPr>
        <b/>
        <i/>
        <sz val="11"/>
        <color theme="1"/>
        <rFont val="Calibri"/>
        <family val="2"/>
        <scheme val="minor"/>
      </rPr>
      <t>Super Simple SPERT</t>
    </r>
    <r>
      <rPr>
        <sz val="11"/>
        <color theme="1"/>
        <rFont val="Calibri"/>
        <family val="2"/>
        <scheme val="minor"/>
      </rPr>
      <t xml:space="preserve"> worksheet gives you a very quick and easy forecast on whether you'll see the peak</t>
    </r>
  </si>
  <si>
    <t>won't likely change the resulting probability calculations by more than a few percentage points.</t>
  </si>
  <si>
    <t>cherry blossom season and seeing the cherry blossoms at their peak which ranges between mid-March</t>
  </si>
  <si>
    <t>and mid-April, with a most likely peak occurring in very early April.</t>
  </si>
  <si>
    <r>
      <rPr>
        <b/>
        <i/>
        <sz val="22"/>
        <color theme="1" tint="0.34998626667073579"/>
        <rFont val="Calibri"/>
        <family val="2"/>
        <scheme val="minor"/>
      </rPr>
      <t>Welcome to</t>
    </r>
    <r>
      <rPr>
        <b/>
        <sz val="22"/>
        <rFont val="Calibri"/>
        <family val="2"/>
        <scheme val="minor"/>
      </rPr>
      <t xml:space="preserve"> Statistical PERT®</t>
    </r>
    <r>
      <rPr>
        <b/>
        <i/>
        <sz val="22"/>
        <color rgb="FFF1592A"/>
        <rFont val="Calibri"/>
        <family val="2"/>
        <scheme val="minor"/>
      </rPr>
      <t xml:space="preserve"> </t>
    </r>
    <r>
      <rPr>
        <b/>
        <i/>
        <sz val="22"/>
        <color rgb="FFC00000"/>
        <rFont val="Calibri"/>
        <family val="2"/>
        <scheme val="minor"/>
      </rPr>
      <t>Cherry Blossom Edition</t>
    </r>
  </si>
  <si>
    <r>
      <t xml:space="preserve">Create a new version! Update row 3 above; insert a new row below this one; on the </t>
    </r>
    <r>
      <rPr>
        <b/>
        <i/>
        <sz val="11"/>
        <color theme="0"/>
        <rFont val="Calibri"/>
        <family val="2"/>
        <scheme val="minor"/>
      </rPr>
      <t>Insert Options</t>
    </r>
    <r>
      <rPr>
        <i/>
        <sz val="11"/>
        <color theme="0"/>
        <rFont val="Calibri"/>
        <family val="2"/>
        <scheme val="minor"/>
      </rPr>
      <t xml:space="preserve"> action dropdown, choose "</t>
    </r>
    <r>
      <rPr>
        <b/>
        <i/>
        <sz val="11"/>
        <color theme="0"/>
        <rFont val="Calibri"/>
        <family val="2"/>
        <scheme val="minor"/>
      </rPr>
      <t>Format Same as Below</t>
    </r>
    <r>
      <rPr>
        <i/>
        <sz val="11"/>
        <color theme="0"/>
        <rFont val="Calibri"/>
        <family val="2"/>
        <scheme val="minor"/>
      </rPr>
      <t>"; copy cells A3:D3; only paste the Values into row 5</t>
    </r>
  </si>
  <si>
    <t>Change Date</t>
  </si>
  <si>
    <t>Authored By</t>
  </si>
  <si>
    <t>1.0</t>
  </si>
  <si>
    <t>William W. Davis</t>
  </si>
  <si>
    <t>Initial production release</t>
  </si>
  <si>
    <r>
      <rPr>
        <b/>
        <sz val="11"/>
        <color theme="1"/>
        <rFont val="Calibri"/>
        <family val="2"/>
        <scheme val="minor"/>
      </rPr>
      <t>Statistical PERT®</t>
    </r>
    <r>
      <rPr>
        <b/>
        <i/>
        <sz val="11"/>
        <color theme="1"/>
        <rFont val="Calibri"/>
        <family val="2"/>
        <scheme val="minor"/>
      </rPr>
      <t xml:space="preserve"> </t>
    </r>
    <r>
      <rPr>
        <b/>
        <i/>
        <sz val="11"/>
        <color rgb="FFC00000"/>
        <rFont val="Calibri"/>
        <family val="2"/>
        <scheme val="minor"/>
      </rPr>
      <t>Cherry Blossum Edition</t>
    </r>
    <r>
      <rPr>
        <sz val="11"/>
        <color theme="1"/>
        <rFont val="Calibri"/>
        <family val="2"/>
        <scheme val="minor"/>
      </rPr>
      <t xml:space="preserve"> </t>
    </r>
    <r>
      <rPr>
        <b/>
        <i/>
        <sz val="11"/>
        <color theme="1"/>
        <rFont val="Calibri"/>
        <family val="2"/>
        <scheme val="minor"/>
      </rPr>
      <t xml:space="preserve">Version 1 </t>
    </r>
    <r>
      <rPr>
        <sz val="11"/>
        <color theme="1"/>
        <rFont val="Calibri"/>
        <family val="2"/>
        <scheme val="minor"/>
      </rPr>
      <t>uses the Statistical PERT® Normal Edition to model the</t>
    </r>
  </si>
  <si>
    <r>
      <rPr>
        <b/>
        <sz val="11"/>
        <color theme="1"/>
        <rFont val="Calibri"/>
        <family val="2"/>
        <scheme val="minor"/>
      </rPr>
      <t>Statistical PERT®</t>
    </r>
    <r>
      <rPr>
        <b/>
        <i/>
        <sz val="11"/>
        <color theme="1"/>
        <rFont val="Calibri"/>
        <family val="2"/>
        <scheme val="minor"/>
      </rPr>
      <t xml:space="preserve"> </t>
    </r>
    <r>
      <rPr>
        <b/>
        <i/>
        <sz val="11"/>
        <color rgb="FFC00000"/>
        <rFont val="Calibri"/>
        <family val="2"/>
        <scheme val="minor"/>
      </rPr>
      <t>Cherry Blossom Edition</t>
    </r>
    <r>
      <rPr>
        <sz val="11"/>
        <color theme="1"/>
        <rFont val="Calibri"/>
        <family val="2"/>
        <scheme val="minor"/>
      </rPr>
      <t xml:space="preserve"> is a </t>
    </r>
    <r>
      <rPr>
        <i/>
        <sz val="11"/>
        <color rgb="FFC00000"/>
        <rFont val="Calibri"/>
        <family val="2"/>
        <scheme val="minor"/>
      </rPr>
      <t>special edition</t>
    </r>
    <r>
      <rPr>
        <sz val="11"/>
        <color theme="1"/>
        <rFont val="Calibri"/>
        <family val="2"/>
        <scheme val="minor"/>
      </rPr>
      <t xml:space="preserve"> of the Normal Edition which uses Excel's</t>
    </r>
  </si>
  <si>
    <t>I used Palisade's @Risk program to visualize possible probability</t>
  </si>
  <si>
    <t>distribution curves that could model the historical data. In all cases,</t>
  </si>
  <si>
    <t>some type of bell-shaped curve was a suitable option for modeling.</t>
  </si>
  <si>
    <t>Statistical PERT Cherry Blossom Edition uses the normal distribution,</t>
  </si>
  <si>
    <t xml:space="preserve">which is good enough to make a good decision on when to visit DC </t>
  </si>
  <si>
    <t>and have some sense of how likely you are to see the cherry blossoms</t>
  </si>
  <si>
    <t>at their peak.</t>
  </si>
  <si>
    <t>Remember, you don't have to be in DC on the day that they are</t>
  </si>
  <si>
    <t>at their peak to experience their beauty. See the Welcome worksheet</t>
  </si>
  <si>
    <t xml:space="preserve">for photos I took during my 2019 visit, which began two days after </t>
  </si>
  <si>
    <t>they were at their peak.</t>
  </si>
  <si>
    <t>1.1</t>
  </si>
  <si>
    <t>Updated cherry blossom info for 2022</t>
  </si>
  <si>
    <t>Std Dev / Peak (avg)</t>
  </si>
  <si>
    <t>Min (early)</t>
  </si>
  <si>
    <t>Max (late)</t>
  </si>
  <si>
    <t>1.2</t>
  </si>
  <si>
    <t>Updated cherry blossom info for 2023</t>
  </si>
  <si>
    <t>Subscribe to the SPERT® newsletter for periodic tips, free webinars, and new release notifications</t>
  </si>
  <si>
    <t>Watch a Pluralsight course on Statistical PERT® Normal Edition</t>
  </si>
  <si>
    <t>Download more FREE Statistical PERT® templates at https://www.statisticalpert.com</t>
  </si>
  <si>
    <r>
      <t xml:space="preserve">The original data (1921-2021) for this worksheet came from the </t>
    </r>
    <r>
      <rPr>
        <b/>
        <u/>
        <sz val="11"/>
        <color theme="10"/>
        <rFont val="Calibri"/>
        <family val="2"/>
        <scheme val="minor"/>
      </rPr>
      <t>United States Environmental Protection Agency</t>
    </r>
    <r>
      <rPr>
        <u/>
        <sz val="11"/>
        <color theme="10"/>
        <rFont val="Calibri"/>
        <family val="2"/>
        <scheme val="minor"/>
      </rPr>
      <t>.</t>
    </r>
  </si>
  <si>
    <t>1.3</t>
  </si>
  <si>
    <t>Updated cherry blossom info for 2024</t>
  </si>
  <si>
    <t>Then, in 2023, I planned my second trip to see the blossoms. Just like in 2019, I arrived after the peak blossom date of</t>
  </si>
  <si>
    <t>March 23, but the blossoms still looked great even a week later.</t>
  </si>
  <si>
    <t>In 2025, though, I finally succeeded in being in Washington, DC just before, on, and after the peak blossom date of</t>
  </si>
  <si>
    <t>March 28. The peak date actually was pretty lousy weather (rain, cloudy), but the 27th was a glorious spring day, and</t>
  </si>
  <si>
    <t>There was, then, about a 50% chance of seeing them at their peak during any one of the three visits I've made so far.</t>
  </si>
  <si>
    <t>1.4</t>
  </si>
  <si>
    <t>Updated cherry blossom info for 2025</t>
  </si>
  <si>
    <t xml:space="preserve">You can choose All Years (1921-2025), Last 50 Years (1976-2025), or Last 25 Years (2001-2025). </t>
  </si>
  <si>
    <t>1921-2025</t>
  </si>
  <si>
    <t>1976-2025</t>
  </si>
  <si>
    <t>2001-2025</t>
  </si>
  <si>
    <r>
      <t xml:space="preserve">           Statistical PERT</t>
    </r>
    <r>
      <rPr>
        <b/>
        <sz val="14"/>
        <color theme="1"/>
        <rFont val="Calibri"/>
        <family val="2"/>
      </rPr>
      <t>®</t>
    </r>
    <r>
      <rPr>
        <b/>
        <sz val="14"/>
        <color theme="1"/>
        <rFont val="Calibri"/>
        <family val="2"/>
        <scheme val="minor"/>
      </rPr>
      <t xml:space="preserve"> (SPERT®)  </t>
    </r>
    <r>
      <rPr>
        <b/>
        <i/>
        <sz val="14"/>
        <color rgb="FFC00000"/>
        <rFont val="Calibri"/>
        <family val="2"/>
        <scheme val="minor"/>
      </rPr>
      <t>Cherry Blossom Edition</t>
    </r>
    <r>
      <rPr>
        <b/>
        <sz val="14"/>
        <color rgb="FFC00000"/>
        <rFont val="Calibri"/>
        <family val="2"/>
        <scheme val="minor"/>
      </rPr>
      <t xml:space="preserve"> </t>
    </r>
    <r>
      <rPr>
        <i/>
        <sz val="14"/>
        <color theme="1" tint="0.499984740745262"/>
        <rFont val="Calibri"/>
        <family val="2"/>
        <scheme val="minor"/>
      </rPr>
      <t>Using History Since 2001</t>
    </r>
  </si>
  <si>
    <r>
      <t xml:space="preserve">           Statistical PERT</t>
    </r>
    <r>
      <rPr>
        <b/>
        <sz val="14"/>
        <color theme="1"/>
        <rFont val="Calibri"/>
        <family val="2"/>
      </rPr>
      <t>®</t>
    </r>
    <r>
      <rPr>
        <b/>
        <sz val="14"/>
        <color theme="1"/>
        <rFont val="Calibri"/>
        <family val="2"/>
        <scheme val="minor"/>
      </rPr>
      <t xml:space="preserve"> (SPERT®)  </t>
    </r>
    <r>
      <rPr>
        <b/>
        <i/>
        <sz val="14"/>
        <color rgb="FFC00000"/>
        <rFont val="Calibri"/>
        <family val="2"/>
        <scheme val="minor"/>
      </rPr>
      <t>Cherry Blossom Edition</t>
    </r>
    <r>
      <rPr>
        <b/>
        <sz val="14"/>
        <color rgb="FFC00000"/>
        <rFont val="Calibri"/>
        <family val="2"/>
        <scheme val="minor"/>
      </rPr>
      <t xml:space="preserve"> </t>
    </r>
    <r>
      <rPr>
        <i/>
        <sz val="14"/>
        <color theme="1" tint="0.499984740745262"/>
        <rFont val="Calibri"/>
        <family val="2"/>
        <scheme val="minor"/>
      </rPr>
      <t>Using History Since 1976</t>
    </r>
  </si>
  <si>
    <r>
      <t xml:space="preserve">           Statistical PERT</t>
    </r>
    <r>
      <rPr>
        <b/>
        <sz val="14"/>
        <color theme="1"/>
        <rFont val="Calibri"/>
        <family val="2"/>
      </rPr>
      <t>®</t>
    </r>
    <r>
      <rPr>
        <b/>
        <sz val="14"/>
        <color theme="1"/>
        <rFont val="Calibri"/>
        <family val="2"/>
        <scheme val="minor"/>
      </rPr>
      <t xml:space="preserve"> (SPERT®)  </t>
    </r>
    <r>
      <rPr>
        <b/>
        <i/>
        <sz val="14"/>
        <color rgb="FFC00000"/>
        <rFont val="Calibri"/>
        <family val="2"/>
        <scheme val="minor"/>
      </rPr>
      <t>Cherry Blossom Edition</t>
    </r>
    <r>
      <rPr>
        <b/>
        <sz val="14"/>
        <color rgb="FFC00000"/>
        <rFont val="Calibri"/>
        <family val="2"/>
        <scheme val="minor"/>
      </rPr>
      <t xml:space="preserve"> </t>
    </r>
    <r>
      <rPr>
        <i/>
        <sz val="14"/>
        <color theme="1" tint="0.499984740745262"/>
        <rFont val="Calibri"/>
        <family val="2"/>
        <scheme val="minor"/>
      </rPr>
      <t>Historical Data from the United States Environmental Protection Agency (EPA) website (1921-2021) and the National Park Service (2022-2025)</t>
    </r>
  </si>
  <si>
    <t>&lt;&lt;-- 2025 data obtained from the NPS site</t>
  </si>
  <si>
    <t>it was very beautiful after the 28th, too. Each trip, I had about a 25% chance of seeing the blossoms at their peak.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</si>
</sst>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164" formatCode="_(&quot;$&quot;* #,##0_);_(&quot;$&quot;* \(#,##0\);_(&quot;$&quot;* &quot;-&quot;??_);_(@_)"/>
    <numFmt numFmtId="165" formatCode="m/d/yy;@"/>
    <numFmt numFmtId="166" formatCode="0.0%"/>
    <numFmt numFmtId="167" formatCode="#,##0.0"/>
    <numFmt numFmtId="168" formatCode="m/d/yyyy;@"/>
  </numFmts>
  <fonts count="86">
    <font>
      <sz val="11"/>
      <color theme="1"/>
      <name val="Calibri"/>
      <family val="2"/>
      <scheme val="minor"/>
    </font>
    <font>
      <b/>
      <sz val="11"/>
      <color theme="1"/>
      <name val="Calibri"/>
      <family val="2"/>
      <scheme val="minor"/>
    </font>
    <font>
      <b/>
      <sz val="14"/>
      <color theme="1"/>
      <name val="Calibri"/>
      <family val="2"/>
      <scheme val="minor"/>
    </font>
    <font>
      <sz val="9"/>
      <color indexed="81"/>
      <name val="Tahoma"/>
      <family val="2"/>
    </font>
    <font>
      <sz val="10"/>
      <color theme="1"/>
      <name val="Calibri"/>
      <family val="2"/>
    </font>
    <font>
      <b/>
      <sz val="11"/>
      <color rgb="FFFF0000"/>
      <name val="Calibri"/>
      <family val="2"/>
      <scheme val="minor"/>
    </font>
    <font>
      <sz val="11"/>
      <color theme="1"/>
      <name val="Calibri"/>
      <family val="2"/>
      <scheme val="minor"/>
    </font>
    <font>
      <i/>
      <sz val="11"/>
      <color theme="1"/>
      <name val="Calibri"/>
      <family val="2"/>
      <scheme val="minor"/>
    </font>
    <font>
      <b/>
      <sz val="11"/>
      <name val="Calibri"/>
      <family val="2"/>
      <scheme val="minor"/>
    </font>
    <font>
      <u/>
      <sz val="11"/>
      <color theme="10"/>
      <name val="Calibri"/>
      <family val="2"/>
      <scheme val="minor"/>
    </font>
    <font>
      <b/>
      <sz val="14"/>
      <color theme="1"/>
      <name val="Calibri"/>
      <family val="2"/>
    </font>
    <font>
      <i/>
      <sz val="12"/>
      <color theme="1"/>
      <name val="Calibri"/>
      <family val="2"/>
      <scheme val="minor"/>
    </font>
    <font>
      <b/>
      <sz val="12"/>
      <color theme="1"/>
      <name val="Calibri"/>
      <family val="2"/>
      <scheme val="minor"/>
    </font>
    <font>
      <sz val="12"/>
      <color theme="1"/>
      <name val="Calibri"/>
      <family val="2"/>
      <scheme val="minor"/>
    </font>
    <font>
      <sz val="10"/>
      <color theme="1"/>
      <name val="Calibri"/>
      <family val="2"/>
      <scheme val="minor"/>
    </font>
    <font>
      <b/>
      <sz val="13"/>
      <color theme="1"/>
      <name val="Calibri"/>
      <family val="2"/>
      <scheme val="minor"/>
    </font>
    <font>
      <sz val="13"/>
      <color theme="1"/>
      <name val="Calibri"/>
      <family val="2"/>
      <scheme val="minor"/>
    </font>
    <font>
      <i/>
      <sz val="10"/>
      <color rgb="FFC00000"/>
      <name val="Calibri"/>
      <family val="2"/>
      <scheme val="minor"/>
    </font>
    <font>
      <b/>
      <i/>
      <sz val="22"/>
      <color theme="1"/>
      <name val="Calibri"/>
      <family val="2"/>
      <scheme val="minor"/>
    </font>
    <font>
      <b/>
      <i/>
      <sz val="22"/>
      <color rgb="FFF1592A"/>
      <name val="Calibri"/>
      <family val="2"/>
      <scheme val="minor"/>
    </font>
    <font>
      <sz val="11"/>
      <color theme="0" tint="-0.499984740745262"/>
      <name val="Calibri"/>
      <family val="2"/>
      <scheme val="minor"/>
    </font>
    <font>
      <sz val="11"/>
      <color theme="1" tint="0.34998626667073579"/>
      <name val="Calibri"/>
      <family val="2"/>
      <scheme val="minor"/>
    </font>
    <font>
      <b/>
      <i/>
      <sz val="11"/>
      <color theme="1"/>
      <name val="Calibri"/>
      <family val="2"/>
      <scheme val="minor"/>
    </font>
    <font>
      <b/>
      <sz val="11"/>
      <color rgb="FF0000FF"/>
      <name val="Calibri"/>
      <family val="2"/>
      <scheme val="minor"/>
    </font>
    <font>
      <i/>
      <sz val="11"/>
      <color theme="0" tint="-0.34998626667073579"/>
      <name val="Calibri"/>
      <family val="2"/>
      <scheme val="minor"/>
    </font>
    <font>
      <sz val="11"/>
      <color rgb="FFC00000"/>
      <name val="Calibri"/>
      <family val="2"/>
      <scheme val="minor"/>
    </font>
    <font>
      <sz val="11"/>
      <color rgb="FFFF0000"/>
      <name val="Calibri"/>
      <family val="2"/>
      <scheme val="minor"/>
    </font>
    <font>
      <sz val="10.5"/>
      <color rgb="FFFF0000"/>
      <name val="Calibri"/>
      <family val="2"/>
      <scheme val="minor"/>
    </font>
    <font>
      <i/>
      <sz val="10.5"/>
      <color theme="1"/>
      <name val="Calibri"/>
      <family val="2"/>
      <scheme val="minor"/>
    </font>
    <font>
      <sz val="11"/>
      <color rgb="FF0000FF"/>
      <name val="Calibri"/>
      <family val="2"/>
      <scheme val="minor"/>
    </font>
    <font>
      <b/>
      <sz val="12"/>
      <color rgb="FF0000FF"/>
      <name val="Calibri"/>
      <family val="2"/>
      <scheme val="minor"/>
    </font>
    <font>
      <b/>
      <i/>
      <u/>
      <sz val="11"/>
      <color theme="10"/>
      <name val="Calibri"/>
      <family val="2"/>
      <scheme val="minor"/>
    </font>
    <font>
      <b/>
      <sz val="18"/>
      <color theme="1"/>
      <name val="Calibri"/>
      <family val="2"/>
      <scheme val="minor"/>
    </font>
    <font>
      <b/>
      <sz val="18"/>
      <color theme="1"/>
      <name val="Calibri"/>
      <family val="2"/>
    </font>
    <font>
      <b/>
      <i/>
      <sz val="11"/>
      <color rgb="FFFF0000"/>
      <name val="Calibri"/>
      <family val="2"/>
      <scheme val="minor"/>
    </font>
    <font>
      <b/>
      <i/>
      <sz val="11"/>
      <color theme="1" tint="0.34998626667073579"/>
      <name val="Calibri"/>
      <family val="2"/>
      <scheme val="minor"/>
    </font>
    <font>
      <sz val="10"/>
      <color theme="1" tint="0.34998626667073579"/>
      <name val="Calibri"/>
      <family val="2"/>
    </font>
    <font>
      <b/>
      <sz val="22"/>
      <name val="Calibri"/>
      <family val="2"/>
      <scheme val="minor"/>
    </font>
    <font>
      <b/>
      <i/>
      <sz val="18"/>
      <color rgb="FFF1592A"/>
      <name val="Calibri"/>
      <family val="2"/>
      <scheme val="minor"/>
    </font>
    <font>
      <b/>
      <i/>
      <sz val="14"/>
      <color rgb="FFF1592A"/>
      <name val="Calibri"/>
      <family val="2"/>
      <scheme val="minor"/>
    </font>
    <font>
      <b/>
      <u/>
      <sz val="11"/>
      <color theme="10"/>
      <name val="Calibri"/>
      <family val="2"/>
      <scheme val="minor"/>
    </font>
    <font>
      <b/>
      <i/>
      <sz val="22"/>
      <color theme="1" tint="0.34998626667073579"/>
      <name val="Calibri"/>
      <family val="2"/>
      <scheme val="minor"/>
    </font>
    <font>
      <b/>
      <i/>
      <sz val="18"/>
      <color theme="1" tint="0.34998626667073579"/>
      <name val="Calibri"/>
      <family val="2"/>
      <scheme val="minor"/>
    </font>
    <font>
      <i/>
      <sz val="11"/>
      <color theme="0" tint="-0.499984740745262"/>
      <name val="Calibri"/>
      <family val="2"/>
      <scheme val="minor"/>
    </font>
    <font>
      <sz val="11"/>
      <color theme="0" tint="-0.499984740745262"/>
      <name val="Calibri"/>
      <family val="2"/>
    </font>
    <font>
      <i/>
      <sz val="11"/>
      <color theme="0" tint="-0.499984740745262"/>
      <name val="Calibri"/>
      <family val="2"/>
    </font>
    <font>
      <sz val="16"/>
      <color theme="1"/>
      <name val="Calibri"/>
      <family val="2"/>
      <scheme val="minor"/>
    </font>
    <font>
      <i/>
      <sz val="11"/>
      <color theme="1" tint="0.499984740745262"/>
      <name val="Calibri"/>
      <family val="2"/>
      <scheme val="minor"/>
    </font>
    <font>
      <sz val="12"/>
      <color theme="1"/>
      <name val="Calibri"/>
      <family val="2"/>
    </font>
    <font>
      <b/>
      <i/>
      <sz val="12"/>
      <color theme="1"/>
      <name val="Calibri"/>
      <family val="2"/>
      <scheme val="minor"/>
    </font>
    <font>
      <sz val="12"/>
      <color rgb="FFC00000"/>
      <name val="Calibri"/>
      <family val="2"/>
      <scheme val="minor"/>
    </font>
    <font>
      <i/>
      <u/>
      <sz val="11"/>
      <color theme="10"/>
      <name val="Calibri"/>
      <family val="2"/>
      <scheme val="minor"/>
    </font>
    <font>
      <b/>
      <sz val="11"/>
      <color theme="1"/>
      <name val="Calibri"/>
      <family val="2"/>
    </font>
    <font>
      <b/>
      <sz val="16"/>
      <color rgb="FFC00000"/>
      <name val="Calibri"/>
      <family val="2"/>
      <scheme val="minor"/>
    </font>
    <font>
      <i/>
      <sz val="11"/>
      <color rgb="FFC00000"/>
      <name val="Calibri"/>
      <family val="2"/>
      <scheme val="minor"/>
    </font>
    <font>
      <i/>
      <sz val="11"/>
      <color rgb="FFFF0000"/>
      <name val="Calibri"/>
      <family val="2"/>
      <scheme val="minor"/>
    </font>
    <font>
      <i/>
      <sz val="22"/>
      <color theme="1" tint="0.34998626667073579"/>
      <name val="Calibri"/>
      <family val="2"/>
      <scheme val="minor"/>
    </font>
    <font>
      <b/>
      <i/>
      <sz val="13"/>
      <color theme="1" tint="0.34998626667073579"/>
      <name val="Candara"/>
      <family val="2"/>
    </font>
    <font>
      <i/>
      <sz val="13"/>
      <color theme="1" tint="0.34998626667073579"/>
      <name val="Candara"/>
      <family val="2"/>
    </font>
    <font>
      <sz val="10"/>
      <color theme="1" tint="0.34998626667073579"/>
      <name val="Candara"/>
      <family val="2"/>
    </font>
    <font>
      <sz val="11"/>
      <color theme="1" tint="0.499984740745262"/>
      <name val="Calibri"/>
      <family val="2"/>
      <scheme val="minor"/>
    </font>
    <font>
      <i/>
      <sz val="10"/>
      <color theme="1" tint="0.34998626667073579"/>
      <name val="Candara"/>
      <family val="2"/>
    </font>
    <font>
      <sz val="10.5"/>
      <color theme="1"/>
      <name val="Courier New"/>
      <family val="3"/>
    </font>
    <font>
      <u/>
      <sz val="10"/>
      <color theme="10"/>
      <name val="Calibri"/>
      <family val="2"/>
      <scheme val="minor"/>
    </font>
    <font>
      <i/>
      <sz val="14"/>
      <color theme="1" tint="0.499984740745262"/>
      <name val="Calibri"/>
      <family val="2"/>
      <scheme val="minor"/>
    </font>
    <font>
      <b/>
      <sz val="15"/>
      <color rgb="FF0000FF"/>
      <name val="Calibri"/>
      <family val="2"/>
      <scheme val="minor"/>
    </font>
    <font>
      <sz val="15"/>
      <color theme="1"/>
      <name val="Calibri"/>
      <family val="2"/>
      <scheme val="minor"/>
    </font>
    <font>
      <sz val="11"/>
      <color theme="0"/>
      <name val="Calibri"/>
      <family val="2"/>
      <scheme val="minor"/>
    </font>
    <font>
      <b/>
      <sz val="13"/>
      <color rgb="FF0000FF"/>
      <name val="Calibri"/>
      <family val="2"/>
      <scheme val="minor"/>
    </font>
    <font>
      <b/>
      <i/>
      <sz val="22"/>
      <color rgb="FFC00000"/>
      <name val="Calibri"/>
      <family val="2"/>
      <scheme val="minor"/>
    </font>
    <font>
      <b/>
      <i/>
      <sz val="11"/>
      <color rgb="FFC00000"/>
      <name val="Calibri"/>
      <family val="2"/>
      <scheme val="minor"/>
    </font>
    <font>
      <b/>
      <i/>
      <sz val="18"/>
      <color rgb="FFC00000"/>
      <name val="Calibri"/>
      <family val="2"/>
      <scheme val="minor"/>
    </font>
    <font>
      <b/>
      <i/>
      <sz val="14"/>
      <color rgb="FFC00000"/>
      <name val="Calibri"/>
      <family val="2"/>
      <scheme val="minor"/>
    </font>
    <font>
      <b/>
      <sz val="14"/>
      <color rgb="FFC00000"/>
      <name val="Calibri"/>
      <family val="2"/>
      <scheme val="minor"/>
    </font>
    <font>
      <sz val="10"/>
      <color rgb="FF000000"/>
      <name val="Arial Unicode MS"/>
    </font>
    <font>
      <b/>
      <sz val="10"/>
      <color rgb="FF000000"/>
      <name val="Arial Unicode MS"/>
    </font>
    <font>
      <b/>
      <sz val="15"/>
      <name val="Calibri"/>
      <family val="2"/>
      <scheme val="minor"/>
    </font>
    <font>
      <b/>
      <sz val="15"/>
      <color theme="1"/>
      <name val="Calibri"/>
      <family val="2"/>
      <scheme val="minor"/>
    </font>
    <font>
      <i/>
      <sz val="11"/>
      <name val="Calibri"/>
      <family val="2"/>
      <scheme val="minor"/>
    </font>
    <font>
      <b/>
      <i/>
      <sz val="11"/>
      <name val="Calibri"/>
      <family val="2"/>
      <scheme val="minor"/>
    </font>
    <font>
      <i/>
      <sz val="9"/>
      <color theme="1" tint="0.499984740745262"/>
      <name val="Calibri"/>
      <family val="2"/>
      <scheme val="minor"/>
    </font>
    <font>
      <i/>
      <sz val="11"/>
      <color theme="0"/>
      <name val="Calibri"/>
      <family val="2"/>
      <scheme val="minor"/>
    </font>
    <font>
      <b/>
      <i/>
      <sz val="11"/>
      <color theme="0"/>
      <name val="Calibri"/>
      <family val="2"/>
      <scheme val="minor"/>
    </font>
    <font>
      <i/>
      <sz val="10"/>
      <color theme="0" tint="-0.34998626667073579"/>
      <name val="Candara"/>
      <family val="2"/>
    </font>
    <font>
      <sz val="9"/>
      <color indexed="81"/>
      <name val="Tahoma"/>
      <charset val="1"/>
    </font>
    <font>
      <b/>
      <sz val="9"/>
      <color indexed="81"/>
      <name val="Tahoma"/>
      <charset val="1"/>
    </font>
  </fonts>
  <fills count="36">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6903C"/>
        <bgColor indexed="64"/>
      </patternFill>
    </fill>
    <fill>
      <patternFill patternType="solid">
        <fgColor rgb="FFF8A764"/>
        <bgColor indexed="64"/>
      </patternFill>
    </fill>
    <fill>
      <patternFill patternType="solid">
        <fgColor rgb="FFFEF4EC"/>
        <bgColor indexed="64"/>
      </patternFill>
    </fill>
    <fill>
      <patternFill patternType="solid">
        <fgColor rgb="FFFFFF99"/>
        <bgColor indexed="64"/>
      </patternFill>
    </fill>
    <fill>
      <patternFill patternType="solid">
        <fgColor theme="0"/>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9"/>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6"/>
        <bgColor indexed="64"/>
      </patternFill>
    </fill>
    <fill>
      <patternFill patternType="solid">
        <fgColor theme="4"/>
        <bgColor indexed="64"/>
      </patternFill>
    </fill>
    <fill>
      <patternFill patternType="solid">
        <fgColor theme="5"/>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rgb="FFFFFFCC"/>
        <bgColor indexed="64"/>
      </patternFill>
    </fill>
    <fill>
      <patternFill patternType="solid">
        <fgColor theme="5" tint="0.79998168889431442"/>
        <bgColor indexed="64"/>
      </patternFill>
    </fill>
    <fill>
      <patternFill patternType="solid">
        <fgColor theme="0" tint="-0.249977111117893"/>
        <bgColor indexed="64"/>
      </patternFill>
    </fill>
    <fill>
      <patternFill patternType="solid">
        <fgColor rgb="FFFF99CC"/>
        <bgColor indexed="64"/>
      </patternFill>
    </fill>
    <fill>
      <patternFill patternType="solid">
        <fgColor theme="8" tint="0.59999389629810485"/>
        <bgColor indexed="64"/>
      </patternFill>
    </fill>
    <fill>
      <patternFill patternType="solid">
        <fgColor rgb="FFFFC00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rgb="FFC0000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diagonal/>
    </border>
    <border>
      <left style="thin">
        <color indexed="64"/>
      </left>
      <right style="thin">
        <color indexed="64"/>
      </right>
      <top/>
      <bottom style="medium">
        <color indexed="64"/>
      </bottom>
      <diagonal/>
    </border>
  </borders>
  <cellStyleXfs count="4">
    <xf numFmtId="0" fontId="0" fillId="0" borderId="0"/>
    <xf numFmtId="44" fontId="6" fillId="0" borderId="0" applyFont="0" applyFill="0" applyBorder="0" applyAlignment="0" applyProtection="0"/>
    <xf numFmtId="0" fontId="9" fillId="0" borderId="0" applyNumberFormat="0" applyFill="0" applyBorder="0" applyAlignment="0" applyProtection="0"/>
    <xf numFmtId="9" fontId="6" fillId="0" borderId="0" applyFont="0" applyFill="0" applyBorder="0" applyAlignment="0" applyProtection="0"/>
  </cellStyleXfs>
  <cellXfs count="241">
    <xf numFmtId="0" fontId="0" fillId="0" borderId="0" xfId="0"/>
    <xf numFmtId="0" fontId="0" fillId="0" borderId="0" xfId="0" applyAlignment="1">
      <alignment horizontal="center"/>
    </xf>
    <xf numFmtId="0" fontId="0" fillId="13" borderId="0" xfId="0" applyFill="1" applyAlignment="1">
      <alignment horizontal="center"/>
    </xf>
    <xf numFmtId="0" fontId="0" fillId="13" borderId="0" xfId="0" applyFill="1"/>
    <xf numFmtId="0" fontId="0" fillId="3" borderId="1" xfId="0" applyFill="1" applyBorder="1"/>
    <xf numFmtId="0" fontId="0" fillId="14" borderId="0" xfId="0" applyFill="1"/>
    <xf numFmtId="0" fontId="0" fillId="14" borderId="0" xfId="0" applyFill="1" applyAlignment="1">
      <alignment horizontal="center"/>
    </xf>
    <xf numFmtId="0" fontId="4" fillId="13" borderId="0" xfId="0" applyFont="1" applyFill="1" applyAlignment="1">
      <alignment horizontal="left"/>
    </xf>
    <xf numFmtId="164" fontId="0" fillId="13" borderId="0" xfId="1" applyNumberFormat="1" applyFont="1" applyFill="1" applyAlignment="1">
      <alignment horizontal="center"/>
    </xf>
    <xf numFmtId="0" fontId="5" fillId="13" borderId="0" xfId="0" applyFont="1" applyFill="1"/>
    <xf numFmtId="0" fontId="5" fillId="13" borderId="0" xfId="0" applyFont="1" applyFill="1" applyAlignment="1">
      <alignment horizontal="center"/>
    </xf>
    <xf numFmtId="165" fontId="1" fillId="14" borderId="1" xfId="0" applyNumberFormat="1" applyFont="1" applyFill="1" applyBorder="1" applyAlignment="1">
      <alignment horizontal="center"/>
    </xf>
    <xf numFmtId="49" fontId="1" fillId="14" borderId="1" xfId="0" applyNumberFormat="1" applyFont="1" applyFill="1" applyBorder="1" applyAlignment="1">
      <alignment horizontal="center"/>
    </xf>
    <xf numFmtId="0" fontId="1" fillId="14" borderId="1" xfId="0" applyFont="1" applyFill="1" applyBorder="1" applyAlignment="1">
      <alignment horizontal="center"/>
    </xf>
    <xf numFmtId="165" fontId="0" fillId="0" borderId="1" xfId="0" applyNumberFormat="1" applyBorder="1"/>
    <xf numFmtId="49" fontId="0" fillId="0" borderId="1" xfId="0" applyNumberFormat="1" applyBorder="1" applyAlignment="1">
      <alignment horizontal="center"/>
    </xf>
    <xf numFmtId="0" fontId="0" fillId="0" borderId="1" xfId="0" applyBorder="1"/>
    <xf numFmtId="0" fontId="7" fillId="13" borderId="0" xfId="0" applyFont="1" applyFill="1" applyAlignment="1">
      <alignment horizontal="right"/>
    </xf>
    <xf numFmtId="1" fontId="0" fillId="13" borderId="0" xfId="1" applyNumberFormat="1" applyFont="1" applyFill="1"/>
    <xf numFmtId="1" fontId="0" fillId="20" borderId="1" xfId="1" applyNumberFormat="1" applyFont="1" applyFill="1" applyBorder="1" applyAlignment="1">
      <alignment horizontal="center"/>
    </xf>
    <xf numFmtId="1" fontId="0" fillId="13" borderId="0" xfId="0" applyNumberFormat="1" applyFill="1" applyAlignment="1">
      <alignment horizontal="center"/>
    </xf>
    <xf numFmtId="0" fontId="11" fillId="13" borderId="0" xfId="0" applyFont="1" applyFill="1" applyAlignment="1">
      <alignment horizontal="left"/>
    </xf>
    <xf numFmtId="0" fontId="13" fillId="13" borderId="0" xfId="0" applyFont="1" applyFill="1" applyAlignment="1">
      <alignment horizontal="center"/>
    </xf>
    <xf numFmtId="0" fontId="14" fillId="13" borderId="0" xfId="0" applyFont="1" applyFill="1" applyAlignment="1">
      <alignment horizontal="center"/>
    </xf>
    <xf numFmtId="10" fontId="12" fillId="17" borderId="1" xfId="0" applyNumberFormat="1" applyFont="1" applyFill="1" applyBorder="1"/>
    <xf numFmtId="0" fontId="16" fillId="13" borderId="0" xfId="0" applyFont="1" applyFill="1" applyAlignment="1">
      <alignment horizontal="center"/>
    </xf>
    <xf numFmtId="9" fontId="15" fillId="22" borderId="1" xfId="3" applyFont="1" applyFill="1" applyBorder="1"/>
    <xf numFmtId="9" fontId="15" fillId="23" borderId="1" xfId="3" applyFont="1" applyFill="1" applyBorder="1"/>
    <xf numFmtId="9" fontId="15" fillId="21" borderId="1" xfId="3" applyFont="1" applyFill="1" applyBorder="1"/>
    <xf numFmtId="0" fontId="17" fillId="13" borderId="0" xfId="0" applyFont="1" applyFill="1" applyAlignment="1">
      <alignment horizontal="center"/>
    </xf>
    <xf numFmtId="0" fontId="18" fillId="13" borderId="0" xfId="0" applyFont="1" applyFill="1"/>
    <xf numFmtId="0" fontId="9" fillId="13" borderId="0" xfId="2" applyFill="1"/>
    <xf numFmtId="0" fontId="20" fillId="4" borderId="1" xfId="0" applyFont="1" applyFill="1" applyBorder="1"/>
    <xf numFmtId="37" fontId="20" fillId="4" borderId="1" xfId="0" applyNumberFormat="1" applyFont="1" applyFill="1" applyBorder="1"/>
    <xf numFmtId="39" fontId="21" fillId="7" borderId="1" xfId="0" applyNumberFormat="1" applyFont="1" applyFill="1" applyBorder="1"/>
    <xf numFmtId="9" fontId="23" fillId="12" borderId="1" xfId="0" applyNumberFormat="1" applyFont="1" applyFill="1" applyBorder="1" applyAlignment="1">
      <alignment horizontal="center"/>
    </xf>
    <xf numFmtId="0" fontId="2" fillId="13" borderId="0" xfId="0" applyFont="1" applyFill="1" applyAlignment="1">
      <alignment horizontal="left" vertical="top"/>
    </xf>
    <xf numFmtId="0" fontId="1" fillId="4" borderId="1" xfId="0" applyFont="1" applyFill="1" applyBorder="1"/>
    <xf numFmtId="0" fontId="1" fillId="4" borderId="1" xfId="0" applyFont="1" applyFill="1" applyBorder="1" applyAlignment="1">
      <alignment horizontal="center" vertical="center"/>
    </xf>
    <xf numFmtId="0" fontId="1" fillId="4" borderId="1" xfId="0" applyFont="1" applyFill="1" applyBorder="1" applyAlignment="1">
      <alignment horizontal="center"/>
    </xf>
    <xf numFmtId="0" fontId="0" fillId="24" borderId="1" xfId="0" applyFill="1" applyBorder="1"/>
    <xf numFmtId="0" fontId="0" fillId="13" borderId="3" xfId="0" applyFill="1" applyBorder="1"/>
    <xf numFmtId="0" fontId="0" fillId="13" borderId="10" xfId="0" applyFill="1" applyBorder="1"/>
    <xf numFmtId="0" fontId="24" fillId="13" borderId="0" xfId="0" applyFont="1" applyFill="1" applyAlignment="1">
      <alignment horizontal="right"/>
    </xf>
    <xf numFmtId="37" fontId="25" fillId="19" borderId="1" xfId="0" applyNumberFormat="1" applyFont="1" applyFill="1" applyBorder="1"/>
    <xf numFmtId="0" fontId="26" fillId="3" borderId="1" xfId="0" applyFont="1" applyFill="1" applyBorder="1"/>
    <xf numFmtId="37" fontId="12" fillId="9" borderId="1" xfId="1" applyNumberFormat="1" applyFont="1" applyFill="1" applyBorder="1"/>
    <xf numFmtId="37" fontId="12" fillId="10" borderId="1" xfId="1" applyNumberFormat="1" applyFont="1" applyFill="1" applyBorder="1"/>
    <xf numFmtId="37" fontId="12" fillId="7" borderId="1" xfId="1" applyNumberFormat="1" applyFont="1" applyFill="1" applyBorder="1"/>
    <xf numFmtId="37" fontId="12" fillId="6" borderId="1" xfId="1" applyNumberFormat="1" applyFont="1" applyFill="1" applyBorder="1"/>
    <xf numFmtId="37" fontId="12" fillId="8" borderId="1" xfId="1" applyNumberFormat="1" applyFont="1" applyFill="1" applyBorder="1"/>
    <xf numFmtId="37" fontId="12" fillId="11" borderId="1" xfId="1" applyNumberFormat="1" applyFont="1" applyFill="1" applyBorder="1"/>
    <xf numFmtId="3" fontId="1" fillId="17" borderId="1" xfId="0" applyNumberFormat="1" applyFont="1" applyFill="1" applyBorder="1"/>
    <xf numFmtId="3" fontId="0" fillId="4" borderId="1" xfId="1" applyNumberFormat="1" applyFont="1" applyFill="1" applyBorder="1"/>
    <xf numFmtId="3" fontId="12" fillId="18" borderId="1" xfId="0" applyNumberFormat="1" applyFont="1" applyFill="1" applyBorder="1"/>
    <xf numFmtId="0" fontId="28" fillId="13" borderId="0" xfId="0" applyFont="1" applyFill="1" applyAlignment="1">
      <alignment horizontal="right"/>
    </xf>
    <xf numFmtId="10" fontId="1" fillId="17" borderId="6" xfId="0" applyNumberFormat="1" applyFont="1" applyFill="1" applyBorder="1"/>
    <xf numFmtId="0" fontId="0" fillId="3" borderId="13" xfId="0" applyFill="1" applyBorder="1"/>
    <xf numFmtId="0" fontId="0" fillId="3" borderId="5" xfId="0" applyFill="1" applyBorder="1"/>
    <xf numFmtId="0" fontId="0" fillId="4" borderId="5" xfId="0" applyFill="1" applyBorder="1"/>
    <xf numFmtId="0" fontId="1" fillId="4" borderId="12" xfId="0" applyFont="1" applyFill="1" applyBorder="1"/>
    <xf numFmtId="3" fontId="1" fillId="15" borderId="1" xfId="1" applyNumberFormat="1" applyFont="1" applyFill="1" applyBorder="1"/>
    <xf numFmtId="3" fontId="8" fillId="25" borderId="1" xfId="1" applyNumberFormat="1" applyFont="1" applyFill="1" applyBorder="1"/>
    <xf numFmtId="37" fontId="1" fillId="15" borderId="1" xfId="1" applyNumberFormat="1" applyFont="1" applyFill="1" applyBorder="1"/>
    <xf numFmtId="3" fontId="29" fillId="12" borderId="1" xfId="1" applyNumberFormat="1" applyFont="1" applyFill="1" applyBorder="1"/>
    <xf numFmtId="37" fontId="30" fillId="2" borderId="1" xfId="1" applyNumberFormat="1" applyFont="1" applyFill="1" applyBorder="1" applyAlignment="1">
      <alignment horizontal="right"/>
    </xf>
    <xf numFmtId="9" fontId="23" fillId="12" borderId="5" xfId="0" applyNumberFormat="1" applyFont="1" applyFill="1" applyBorder="1" applyAlignment="1">
      <alignment horizontal="center"/>
    </xf>
    <xf numFmtId="0" fontId="9" fillId="14" borderId="0" xfId="2" applyFill="1"/>
    <xf numFmtId="0" fontId="9" fillId="13" borderId="0" xfId="2" applyFill="1" applyAlignment="1">
      <alignment horizontal="left"/>
    </xf>
    <xf numFmtId="1" fontId="0" fillId="20" borderId="1" xfId="1" applyNumberFormat="1" applyFont="1" applyFill="1" applyBorder="1" applyAlignment="1">
      <alignment horizontal="center" vertical="center"/>
    </xf>
    <xf numFmtId="0" fontId="0" fillId="12" borderId="1" xfId="0" applyFill="1" applyBorder="1" applyAlignment="1">
      <alignment horizontal="center" vertical="center"/>
    </xf>
    <xf numFmtId="0" fontId="32" fillId="13" borderId="0" xfId="0" applyFont="1" applyFill="1" applyAlignment="1">
      <alignment horizontal="left" vertical="top" indent="2"/>
    </xf>
    <xf numFmtId="0" fontId="36" fillId="13" borderId="0" xfId="0" applyFont="1" applyFill="1" applyAlignment="1">
      <alignment horizontal="left"/>
    </xf>
    <xf numFmtId="0" fontId="36" fillId="13" borderId="0" xfId="0" applyFont="1" applyFill="1" applyAlignment="1">
      <alignment horizontal="left" indent="1"/>
    </xf>
    <xf numFmtId="0" fontId="4" fillId="13" borderId="0" xfId="0" applyFont="1" applyFill="1" applyAlignment="1">
      <alignment horizontal="left" indent="1"/>
    </xf>
    <xf numFmtId="0" fontId="24" fillId="13" borderId="0" xfId="0" applyFont="1" applyFill="1" applyAlignment="1">
      <alignment horizontal="left"/>
    </xf>
    <xf numFmtId="37" fontId="25" fillId="28" borderId="1" xfId="0" applyNumberFormat="1" applyFont="1" applyFill="1" applyBorder="1"/>
    <xf numFmtId="0" fontId="20" fillId="28" borderId="1" xfId="0" applyFont="1" applyFill="1" applyBorder="1"/>
    <xf numFmtId="0" fontId="43" fillId="0" borderId="0" xfId="0" applyFont="1"/>
    <xf numFmtId="0" fontId="24" fillId="13" borderId="0" xfId="0" applyFont="1" applyFill="1" applyAlignment="1">
      <alignment horizontal="left" indent="1"/>
    </xf>
    <xf numFmtId="37" fontId="25" fillId="4" borderId="1" xfId="0" applyNumberFormat="1" applyFont="1" applyFill="1" applyBorder="1"/>
    <xf numFmtId="0" fontId="1" fillId="12" borderId="1" xfId="0" applyFont="1" applyFill="1" applyBorder="1" applyAlignment="1">
      <alignment horizontal="center" vertical="center"/>
    </xf>
    <xf numFmtId="3" fontId="46" fillId="28" borderId="1" xfId="1" applyNumberFormat="1" applyFont="1" applyFill="1" applyBorder="1" applyAlignment="1">
      <alignment horizontal="center" vertical="center"/>
    </xf>
    <xf numFmtId="0" fontId="0" fillId="13" borderId="0" xfId="0" applyFill="1" applyAlignment="1">
      <alignment horizontal="left" vertical="center" indent="7"/>
    </xf>
    <xf numFmtId="0" fontId="2" fillId="13" borderId="15" xfId="0" applyFont="1" applyFill="1" applyBorder="1" applyAlignment="1">
      <alignment horizontal="left" vertical="top"/>
    </xf>
    <xf numFmtId="0" fontId="13" fillId="13" borderId="0" xfId="0" applyFont="1" applyFill="1" applyAlignment="1">
      <alignment horizontal="right" vertical="center" indent="1"/>
    </xf>
    <xf numFmtId="0" fontId="2" fillId="27" borderId="15" xfId="0" applyFont="1" applyFill="1" applyBorder="1" applyAlignment="1">
      <alignment horizontal="left" vertical="top"/>
    </xf>
    <xf numFmtId="0" fontId="0" fillId="27" borderId="16" xfId="0" applyFill="1" applyBorder="1"/>
    <xf numFmtId="0" fontId="0" fillId="27" borderId="18" xfId="0" applyFill="1" applyBorder="1"/>
    <xf numFmtId="0" fontId="0" fillId="27" borderId="18" xfId="0" applyFill="1" applyBorder="1" applyAlignment="1">
      <alignment horizontal="center"/>
    </xf>
    <xf numFmtId="0" fontId="0" fillId="27" borderId="20" xfId="0" applyFill="1" applyBorder="1"/>
    <xf numFmtId="0" fontId="2" fillId="27" borderId="17" xfId="0" applyFont="1" applyFill="1" applyBorder="1" applyAlignment="1">
      <alignment horizontal="left" vertical="top"/>
    </xf>
    <xf numFmtId="0" fontId="50" fillId="27" borderId="18" xfId="0" applyFont="1" applyFill="1" applyBorder="1" applyAlignment="1">
      <alignment horizontal="right" vertical="center" indent="1"/>
    </xf>
    <xf numFmtId="0" fontId="50" fillId="27" borderId="18" xfId="0" applyFont="1" applyFill="1" applyBorder="1" applyAlignment="1">
      <alignment horizontal="left" vertical="center" indent="1"/>
    </xf>
    <xf numFmtId="0" fontId="2" fillId="20" borderId="15" xfId="0" applyFont="1" applyFill="1" applyBorder="1" applyAlignment="1">
      <alignment horizontal="left" vertical="top"/>
    </xf>
    <xf numFmtId="0" fontId="47" fillId="20" borderId="0" xfId="0" applyFont="1" applyFill="1" applyAlignment="1">
      <alignment horizontal="left" vertical="center" indent="1"/>
    </xf>
    <xf numFmtId="0" fontId="0" fillId="20" borderId="0" xfId="0" applyFill="1"/>
    <xf numFmtId="0" fontId="0" fillId="20" borderId="0" xfId="0" applyFill="1" applyAlignment="1">
      <alignment horizontal="center"/>
    </xf>
    <xf numFmtId="0" fontId="0" fillId="20" borderId="16" xfId="0" applyFill="1" applyBorder="1"/>
    <xf numFmtId="0" fontId="20" fillId="28" borderId="0" xfId="0" applyFont="1" applyFill="1"/>
    <xf numFmtId="0" fontId="35" fillId="14" borderId="0" xfId="0" applyFont="1" applyFill="1" applyAlignment="1">
      <alignment horizontal="left"/>
    </xf>
    <xf numFmtId="0" fontId="41" fillId="14" borderId="0" xfId="0" applyFont="1" applyFill="1" applyAlignment="1">
      <alignment horizontal="left"/>
    </xf>
    <xf numFmtId="0" fontId="7" fillId="14" borderId="0" xfId="0" applyFont="1" applyFill="1"/>
    <xf numFmtId="0" fontId="54" fillId="14" borderId="0" xfId="0" applyFont="1" applyFill="1"/>
    <xf numFmtId="0" fontId="0" fillId="29" borderId="1" xfId="0" applyFill="1" applyBorder="1"/>
    <xf numFmtId="0" fontId="55" fillId="0" borderId="0" xfId="0" applyFont="1"/>
    <xf numFmtId="0" fontId="57" fillId="14" borderId="0" xfId="0" applyFont="1" applyFill="1"/>
    <xf numFmtId="0" fontId="59" fillId="14" borderId="0" xfId="0" quotePrefix="1" applyFont="1" applyFill="1"/>
    <xf numFmtId="0" fontId="58" fillId="14" borderId="0" xfId="0" applyFont="1" applyFill="1"/>
    <xf numFmtId="0" fontId="2" fillId="24" borderId="21" xfId="0" applyFont="1" applyFill="1" applyBorder="1" applyAlignment="1">
      <alignment horizontal="left" vertical="top"/>
    </xf>
    <xf numFmtId="0" fontId="2" fillId="24" borderId="22" xfId="0" applyFont="1" applyFill="1" applyBorder="1" applyAlignment="1">
      <alignment horizontal="left" vertical="top"/>
    </xf>
    <xf numFmtId="0" fontId="53" fillId="24" borderId="22" xfId="0" applyFont="1" applyFill="1" applyBorder="1" applyAlignment="1">
      <alignment horizontal="center" vertical="center"/>
    </xf>
    <xf numFmtId="0" fontId="0" fillId="24" borderId="22" xfId="0" applyFill="1" applyBorder="1"/>
    <xf numFmtId="0" fontId="0" fillId="24" borderId="22" xfId="0" applyFill="1" applyBorder="1" applyAlignment="1">
      <alignment horizontal="center"/>
    </xf>
    <xf numFmtId="0" fontId="0" fillId="24" borderId="23" xfId="0" applyFill="1" applyBorder="1"/>
    <xf numFmtId="0" fontId="2" fillId="24" borderId="15" xfId="0" applyFont="1" applyFill="1" applyBorder="1" applyAlignment="1">
      <alignment horizontal="left" vertical="top"/>
    </xf>
    <xf numFmtId="0" fontId="60" fillId="19" borderId="0" xfId="0" applyFont="1" applyFill="1"/>
    <xf numFmtId="0" fontId="61" fillId="14" borderId="0" xfId="0" quotePrefix="1" applyFont="1" applyFill="1"/>
    <xf numFmtId="0" fontId="63" fillId="13" borderId="0" xfId="2" applyFont="1" applyFill="1" applyAlignment="1">
      <alignment horizontal="left"/>
    </xf>
    <xf numFmtId="0" fontId="62" fillId="0" borderId="0" xfId="0" applyFont="1" applyAlignment="1">
      <alignment horizontal="left" vertical="center" indent="3"/>
    </xf>
    <xf numFmtId="0" fontId="0" fillId="0" borderId="0" xfId="0" applyAlignment="1">
      <alignment horizontal="left" vertical="center" indent="3"/>
    </xf>
    <xf numFmtId="0" fontId="0" fillId="0" borderId="0" xfId="0" applyAlignment="1">
      <alignment horizontal="left" indent="3"/>
    </xf>
    <xf numFmtId="0" fontId="41" fillId="14" borderId="0" xfId="0" applyFont="1" applyFill="1" applyAlignment="1">
      <alignment horizontal="left" indent="2"/>
    </xf>
    <xf numFmtId="0" fontId="47" fillId="14" borderId="0" xfId="0" applyFont="1" applyFill="1" applyAlignment="1">
      <alignment horizontal="left" indent="2"/>
    </xf>
    <xf numFmtId="0" fontId="60" fillId="14" borderId="0" xfId="0" applyFont="1" applyFill="1" applyAlignment="1">
      <alignment horizontal="left" indent="2"/>
    </xf>
    <xf numFmtId="165" fontId="0" fillId="30" borderId="1" xfId="0" applyNumberFormat="1" applyFill="1" applyBorder="1"/>
    <xf numFmtId="49" fontId="0" fillId="30" borderId="1" xfId="0" applyNumberFormat="1" applyFill="1" applyBorder="1" applyAlignment="1">
      <alignment horizontal="center"/>
    </xf>
    <xf numFmtId="0" fontId="0" fillId="30" borderId="1" xfId="0" applyFill="1" applyBorder="1"/>
    <xf numFmtId="3" fontId="30" fillId="12" borderId="1" xfId="0" applyNumberFormat="1" applyFont="1" applyFill="1" applyBorder="1"/>
    <xf numFmtId="9" fontId="30" fillId="12" borderId="1" xfId="0" applyNumberFormat="1" applyFont="1" applyFill="1" applyBorder="1"/>
    <xf numFmtId="0" fontId="0" fillId="12" borderId="1" xfId="0" applyFill="1" applyBorder="1"/>
    <xf numFmtId="0" fontId="29" fillId="12" borderId="1" xfId="0" applyFont="1" applyFill="1" applyBorder="1"/>
    <xf numFmtId="9" fontId="29" fillId="12" borderId="1" xfId="0" applyNumberFormat="1" applyFont="1" applyFill="1" applyBorder="1"/>
    <xf numFmtId="0" fontId="0" fillId="13" borderId="2" xfId="0" applyFill="1" applyBorder="1"/>
    <xf numFmtId="0" fontId="0" fillId="0" borderId="4" xfId="0" applyBorder="1"/>
    <xf numFmtId="0" fontId="0" fillId="13" borderId="7" xfId="0" applyFill="1" applyBorder="1"/>
    <xf numFmtId="0" fontId="0" fillId="0" borderId="9" xfId="0" applyBorder="1"/>
    <xf numFmtId="0" fontId="0" fillId="13" borderId="8" xfId="0" applyFill="1" applyBorder="1"/>
    <xf numFmtId="0" fontId="0" fillId="0" borderId="11" xfId="0" applyBorder="1"/>
    <xf numFmtId="0" fontId="0" fillId="0" borderId="3" xfId="0" applyBorder="1"/>
    <xf numFmtId="0" fontId="0" fillId="0" borderId="10" xfId="0" applyBorder="1"/>
    <xf numFmtId="3" fontId="65" fillId="12" borderId="1" xfId="1" applyNumberFormat="1" applyFont="1" applyFill="1" applyBorder="1" applyAlignment="1">
      <alignment horizontal="center" vertical="center"/>
    </xf>
    <xf numFmtId="9" fontId="66" fillId="17" borderId="6" xfId="0" applyNumberFormat="1" applyFont="1" applyFill="1" applyBorder="1" applyAlignment="1">
      <alignment horizontal="center" vertical="center"/>
    </xf>
    <xf numFmtId="37" fontId="66" fillId="6" borderId="19" xfId="1" applyNumberFormat="1" applyFont="1" applyFill="1" applyBorder="1" applyAlignment="1">
      <alignment horizontal="center" vertical="center"/>
    </xf>
    <xf numFmtId="0" fontId="26" fillId="3" borderId="12" xfId="0" applyFont="1" applyFill="1" applyBorder="1"/>
    <xf numFmtId="0" fontId="67" fillId="13" borderId="0" xfId="0" applyFont="1" applyFill="1"/>
    <xf numFmtId="168" fontId="0" fillId="28" borderId="0" xfId="0" applyNumberFormat="1" applyFill="1"/>
    <xf numFmtId="3" fontId="0" fillId="6" borderId="1" xfId="0" applyNumberFormat="1" applyFill="1" applyBorder="1"/>
    <xf numFmtId="0" fontId="0" fillId="13" borderId="1" xfId="0" applyFill="1" applyBorder="1" applyAlignment="1">
      <alignment horizontal="center"/>
    </xf>
    <xf numFmtId="167" fontId="29" fillId="12" borderId="1" xfId="1" applyNumberFormat="1" applyFont="1" applyFill="1" applyBorder="1"/>
    <xf numFmtId="0" fontId="0" fillId="12" borderId="1" xfId="0" applyFill="1" applyBorder="1" applyAlignment="1">
      <alignment horizontal="center"/>
    </xf>
    <xf numFmtId="0" fontId="0" fillId="26" borderId="1" xfId="0" applyFill="1" applyBorder="1"/>
    <xf numFmtId="3" fontId="0" fillId="16" borderId="1" xfId="0" applyNumberFormat="1" applyFill="1" applyBorder="1"/>
    <xf numFmtId="166" fontId="0" fillId="17" borderId="6" xfId="0" applyNumberFormat="1" applyFill="1" applyBorder="1"/>
    <xf numFmtId="37" fontId="0" fillId="6" borderId="1" xfId="1" applyNumberFormat="1" applyFont="1" applyFill="1" applyBorder="1"/>
    <xf numFmtId="37" fontId="0" fillId="8" borderId="1" xfId="1" applyNumberFormat="1" applyFont="1" applyFill="1" applyBorder="1"/>
    <xf numFmtId="168" fontId="68" fillId="12" borderId="1" xfId="0" applyNumberFormat="1" applyFont="1" applyFill="1" applyBorder="1" applyAlignment="1">
      <alignment vertical="center"/>
    </xf>
    <xf numFmtId="1" fontId="68" fillId="12" borderId="1" xfId="0" applyNumberFormat="1" applyFont="1" applyFill="1" applyBorder="1" applyAlignment="1">
      <alignment vertical="center"/>
    </xf>
    <xf numFmtId="0" fontId="1" fillId="32" borderId="0" xfId="0" applyFont="1" applyFill="1" applyAlignment="1">
      <alignment horizontal="right" vertical="center"/>
    </xf>
    <xf numFmtId="0" fontId="1" fillId="33" borderId="0" xfId="0" applyFont="1" applyFill="1" applyAlignment="1">
      <alignment horizontal="right" vertical="center"/>
    </xf>
    <xf numFmtId="0" fontId="1" fillId="32" borderId="24" xfId="0" applyFont="1" applyFill="1" applyBorder="1" applyAlignment="1">
      <alignment horizontal="right" vertical="center"/>
    </xf>
    <xf numFmtId="168" fontId="68" fillId="2" borderId="25" xfId="0" applyNumberFormat="1" applyFont="1" applyFill="1" applyBorder="1" applyAlignment="1">
      <alignment vertical="center"/>
    </xf>
    <xf numFmtId="0" fontId="1" fillId="32" borderId="26" xfId="0" applyFont="1" applyFill="1" applyBorder="1" applyAlignment="1">
      <alignment horizontal="right" vertical="center"/>
    </xf>
    <xf numFmtId="0" fontId="15" fillId="31" borderId="27" xfId="0" applyFont="1" applyFill="1" applyBorder="1" applyAlignment="1">
      <alignment vertical="center"/>
    </xf>
    <xf numFmtId="0" fontId="1" fillId="32" borderId="15" xfId="0" applyFont="1" applyFill="1" applyBorder="1" applyAlignment="1">
      <alignment horizontal="right" vertical="center"/>
    </xf>
    <xf numFmtId="0" fontId="15" fillId="31" borderId="28" xfId="0" applyFont="1" applyFill="1" applyBorder="1" applyAlignment="1">
      <alignment vertical="center"/>
    </xf>
    <xf numFmtId="0" fontId="7" fillId="32" borderId="17" xfId="0" applyFont="1" applyFill="1" applyBorder="1" applyAlignment="1">
      <alignment horizontal="right" vertical="center"/>
    </xf>
    <xf numFmtId="0" fontId="16" fillId="6" borderId="19" xfId="0" applyFont="1" applyFill="1" applyBorder="1" applyAlignment="1">
      <alignment vertical="center"/>
    </xf>
    <xf numFmtId="0" fontId="7" fillId="32" borderId="18" xfId="0" applyFont="1" applyFill="1" applyBorder="1" applyAlignment="1">
      <alignment horizontal="right" vertical="center"/>
    </xf>
    <xf numFmtId="0" fontId="16" fillId="32" borderId="20" xfId="0" applyFont="1" applyFill="1" applyBorder="1" applyAlignment="1">
      <alignment vertical="center"/>
    </xf>
    <xf numFmtId="0" fontId="1" fillId="33" borderId="24" xfId="0" applyFont="1" applyFill="1" applyBorder="1" applyAlignment="1">
      <alignment horizontal="right" vertical="center"/>
    </xf>
    <xf numFmtId="1" fontId="68" fillId="12" borderId="25" xfId="0" applyNumberFormat="1" applyFont="1" applyFill="1" applyBorder="1" applyAlignment="1">
      <alignment vertical="center"/>
    </xf>
    <xf numFmtId="0" fontId="1" fillId="33" borderId="26" xfId="0" applyFont="1" applyFill="1" applyBorder="1" applyAlignment="1">
      <alignment horizontal="right" vertical="center"/>
    </xf>
    <xf numFmtId="14" fontId="15" fillId="31" borderId="27" xfId="0" applyNumberFormat="1" applyFont="1" applyFill="1" applyBorder="1" applyAlignment="1">
      <alignment vertical="center"/>
    </xf>
    <xf numFmtId="0" fontId="1" fillId="33" borderId="15" xfId="0" applyFont="1" applyFill="1" applyBorder="1" applyAlignment="1">
      <alignment horizontal="right" vertical="center"/>
    </xf>
    <xf numFmtId="14" fontId="15" fillId="31" borderId="28" xfId="0" applyNumberFormat="1" applyFont="1" applyFill="1" applyBorder="1" applyAlignment="1">
      <alignment vertical="center"/>
    </xf>
    <xf numFmtId="0" fontId="7" fillId="33" borderId="17" xfId="0" applyFont="1" applyFill="1" applyBorder="1" applyAlignment="1">
      <alignment horizontal="right" vertical="center"/>
    </xf>
    <xf numFmtId="0" fontId="7" fillId="33" borderId="18" xfId="0" applyFont="1" applyFill="1" applyBorder="1" applyAlignment="1">
      <alignment horizontal="right" vertical="center"/>
    </xf>
    <xf numFmtId="0" fontId="16" fillId="33" borderId="20" xfId="0" applyFont="1" applyFill="1" applyBorder="1"/>
    <xf numFmtId="14" fontId="65" fillId="12" borderId="6" xfId="1" applyNumberFormat="1" applyFont="1" applyFill="1" applyBorder="1" applyAlignment="1">
      <alignment horizontal="center" vertical="center"/>
    </xf>
    <xf numFmtId="167" fontId="46" fillId="5" borderId="1" xfId="1" applyNumberFormat="1" applyFont="1" applyFill="1" applyBorder="1" applyAlignment="1">
      <alignment horizontal="center" vertical="center"/>
    </xf>
    <xf numFmtId="0" fontId="27" fillId="13" borderId="10" xfId="0" applyFont="1" applyFill="1" applyBorder="1" applyAlignment="1">
      <alignment horizontal="center" vertical="center"/>
    </xf>
    <xf numFmtId="9" fontId="13" fillId="12" borderId="1" xfId="3" applyFont="1" applyFill="1" applyBorder="1" applyAlignment="1">
      <alignment horizontal="center" vertical="center"/>
    </xf>
    <xf numFmtId="167" fontId="0" fillId="5" borderId="1" xfId="1" applyNumberFormat="1" applyFont="1" applyFill="1" applyBorder="1"/>
    <xf numFmtId="0" fontId="74" fillId="0" borderId="0" xfId="0" applyFont="1" applyAlignment="1">
      <alignment vertical="center"/>
    </xf>
    <xf numFmtId="0" fontId="1" fillId="0" borderId="0" xfId="0" applyFont="1" applyAlignment="1">
      <alignment horizontal="right"/>
    </xf>
    <xf numFmtId="0" fontId="0" fillId="5" borderId="0" xfId="0" applyFill="1"/>
    <xf numFmtId="15" fontId="0" fillId="19" borderId="0" xfId="0" applyNumberFormat="1" applyFill="1"/>
    <xf numFmtId="15" fontId="0" fillId="31" borderId="0" xfId="0" applyNumberFormat="1" applyFill="1"/>
    <xf numFmtId="0" fontId="1" fillId="4" borderId="0" xfId="0" applyFont="1" applyFill="1" applyAlignment="1">
      <alignment horizontal="center"/>
    </xf>
    <xf numFmtId="15" fontId="0" fillId="5" borderId="0" xfId="0" applyNumberFormat="1" applyFill="1"/>
    <xf numFmtId="0" fontId="75" fillId="4" borderId="0" xfId="0" applyFont="1" applyFill="1" applyAlignment="1">
      <alignment vertical="center"/>
    </xf>
    <xf numFmtId="0" fontId="74" fillId="34" borderId="0" xfId="0" applyFont="1" applyFill="1" applyAlignment="1">
      <alignment vertical="center"/>
    </xf>
    <xf numFmtId="0" fontId="4" fillId="13" borderId="0" xfId="0" applyFont="1" applyFill="1" applyAlignment="1">
      <alignment horizontal="left" indent="2"/>
    </xf>
    <xf numFmtId="0" fontId="36" fillId="13" borderId="0" xfId="0" applyFont="1" applyFill="1" applyAlignment="1">
      <alignment horizontal="left" indent="2"/>
    </xf>
    <xf numFmtId="3" fontId="76" fillId="20" borderId="6" xfId="1" applyNumberFormat="1" applyFont="1" applyFill="1" applyBorder="1" applyAlignment="1">
      <alignment horizontal="center" vertical="center"/>
    </xf>
    <xf numFmtId="14" fontId="76" fillId="12" borderId="6" xfId="1" applyNumberFormat="1" applyFont="1" applyFill="1" applyBorder="1" applyAlignment="1">
      <alignment horizontal="center" vertical="center"/>
    </xf>
    <xf numFmtId="1" fontId="76" fillId="20" borderId="6" xfId="1" applyNumberFormat="1" applyFont="1" applyFill="1" applyBorder="1" applyAlignment="1">
      <alignment horizontal="center" vertical="center"/>
    </xf>
    <xf numFmtId="1" fontId="0" fillId="0" borderId="0" xfId="1" applyNumberFormat="1" applyFont="1" applyFill="1"/>
    <xf numFmtId="0" fontId="2" fillId="0" borderId="24" xfId="0" applyFont="1" applyBorder="1" applyAlignment="1">
      <alignment horizontal="left" vertical="top"/>
    </xf>
    <xf numFmtId="0" fontId="2" fillId="0" borderId="26" xfId="0" applyFont="1" applyBorder="1" applyAlignment="1">
      <alignment horizontal="left" vertical="top"/>
    </xf>
    <xf numFmtId="0" fontId="53" fillId="0" borderId="26" xfId="0" applyFont="1" applyBorder="1" applyAlignment="1">
      <alignment horizontal="center" vertical="center"/>
    </xf>
    <xf numFmtId="0" fontId="0" fillId="0" borderId="26" xfId="0" applyBorder="1"/>
    <xf numFmtId="0" fontId="0" fillId="0" borderId="26" xfId="0" applyBorder="1" applyAlignment="1">
      <alignment horizontal="center"/>
    </xf>
    <xf numFmtId="0" fontId="0" fillId="0" borderId="29" xfId="0" applyBorder="1"/>
    <xf numFmtId="9" fontId="65" fillId="12" borderId="6" xfId="0" applyNumberFormat="1" applyFont="1" applyFill="1" applyBorder="1" applyAlignment="1">
      <alignment horizontal="center" vertical="center"/>
    </xf>
    <xf numFmtId="0" fontId="13" fillId="24" borderId="0" xfId="0" applyFont="1" applyFill="1" applyAlignment="1">
      <alignment horizontal="right" vertical="center" indent="1"/>
    </xf>
    <xf numFmtId="0" fontId="13" fillId="20" borderId="0" xfId="0" applyFont="1" applyFill="1" applyAlignment="1">
      <alignment horizontal="right" vertical="center" indent="1"/>
    </xf>
    <xf numFmtId="0" fontId="12" fillId="13" borderId="0" xfId="0" applyFont="1" applyFill="1" applyAlignment="1">
      <alignment horizontal="left" vertical="top"/>
    </xf>
    <xf numFmtId="0" fontId="50" fillId="27" borderId="0" xfId="0" applyFont="1" applyFill="1" applyAlignment="1">
      <alignment horizontal="right" vertical="center" indent="1"/>
    </xf>
    <xf numFmtId="0" fontId="50" fillId="27" borderId="0" xfId="0" applyFont="1" applyFill="1" applyAlignment="1">
      <alignment horizontal="left" vertical="center" indent="1"/>
    </xf>
    <xf numFmtId="0" fontId="0" fillId="27" borderId="0" xfId="0" applyFill="1"/>
    <xf numFmtId="0" fontId="0" fillId="27" borderId="0" xfId="0" applyFill="1" applyAlignment="1">
      <alignment horizontal="center"/>
    </xf>
    <xf numFmtId="9" fontId="77" fillId="17" borderId="30" xfId="0" applyNumberFormat="1" applyFont="1" applyFill="1" applyBorder="1" applyAlignment="1">
      <alignment horizontal="center" vertical="center"/>
    </xf>
    <xf numFmtId="0" fontId="80" fillId="14" borderId="0" xfId="0" applyFont="1" applyFill="1" applyAlignment="1">
      <alignment horizontal="left"/>
    </xf>
    <xf numFmtId="0" fontId="7" fillId="32" borderId="0" xfId="0" applyFont="1" applyFill="1"/>
    <xf numFmtId="0" fontId="78" fillId="32" borderId="0" xfId="0" applyFont="1" applyFill="1"/>
    <xf numFmtId="165" fontId="29" fillId="12" borderId="1" xfId="0" applyNumberFormat="1" applyFont="1" applyFill="1" applyBorder="1"/>
    <xf numFmtId="49" fontId="29" fillId="12" borderId="1" xfId="0" applyNumberFormat="1" applyFont="1" applyFill="1" applyBorder="1" applyAlignment="1">
      <alignment horizontal="center"/>
    </xf>
    <xf numFmtId="49" fontId="0" fillId="35" borderId="1" xfId="0" applyNumberFormat="1" applyFill="1" applyBorder="1" applyAlignment="1">
      <alignment horizontal="center"/>
    </xf>
    <xf numFmtId="0" fontId="0" fillId="35" borderId="1" xfId="0" applyFill="1" applyBorder="1"/>
    <xf numFmtId="165" fontId="81" fillId="35" borderId="1" xfId="0" applyNumberFormat="1" applyFont="1" applyFill="1" applyBorder="1" applyAlignment="1">
      <alignment horizontal="left" indent="1"/>
    </xf>
    <xf numFmtId="0" fontId="0" fillId="0" borderId="0" xfId="0" applyAlignment="1">
      <alignment horizontal="center" vertical="center"/>
    </xf>
    <xf numFmtId="0" fontId="83" fillId="14" borderId="0" xfId="0" quotePrefix="1" applyFont="1" applyFill="1"/>
    <xf numFmtId="0" fontId="9" fillId="0" borderId="0" xfId="2" applyFill="1"/>
    <xf numFmtId="0" fontId="51" fillId="14" borderId="0" xfId="2" applyFont="1" applyFill="1" applyAlignment="1">
      <alignment horizontal="left"/>
    </xf>
    <xf numFmtId="0" fontId="9" fillId="13" borderId="0" xfId="2" applyFill="1" applyAlignment="1">
      <alignment horizontal="left"/>
    </xf>
    <xf numFmtId="0" fontId="63" fillId="13" borderId="0" xfId="2" applyFont="1" applyFill="1" applyAlignment="1">
      <alignment horizontal="left"/>
    </xf>
    <xf numFmtId="0" fontId="1" fillId="4" borderId="14" xfId="0" applyFont="1" applyFill="1" applyBorder="1" applyAlignment="1">
      <alignment horizontal="center" wrapText="1"/>
    </xf>
    <xf numFmtId="0" fontId="1" fillId="4" borderId="6" xfId="0" applyFont="1" applyFill="1" applyBorder="1" applyAlignment="1">
      <alignment horizontal="center" wrapText="1"/>
    </xf>
    <xf numFmtId="0" fontId="1" fillId="4" borderId="12" xfId="0" applyFont="1" applyFill="1" applyBorder="1" applyAlignment="1">
      <alignment horizontal="center"/>
    </xf>
    <xf numFmtId="0" fontId="1" fillId="4" borderId="13" xfId="0" applyFont="1" applyFill="1" applyBorder="1" applyAlignment="1">
      <alignment horizontal="center"/>
    </xf>
    <xf numFmtId="0" fontId="1" fillId="4" borderId="5" xfId="0" applyFont="1" applyFill="1" applyBorder="1" applyAlignment="1">
      <alignment horizontal="center"/>
    </xf>
    <xf numFmtId="0" fontId="0" fillId="12" borderId="12" xfId="0" applyFill="1" applyBorder="1" applyAlignment="1">
      <alignment horizontal="center" vertical="center"/>
    </xf>
    <xf numFmtId="0" fontId="0" fillId="12" borderId="13" xfId="0" applyFill="1" applyBorder="1" applyAlignment="1">
      <alignment horizontal="center" vertical="center"/>
    </xf>
    <xf numFmtId="0" fontId="0" fillId="12" borderId="5" xfId="0" applyFill="1" applyBorder="1" applyAlignment="1">
      <alignment horizontal="center" vertical="center"/>
    </xf>
    <xf numFmtId="0" fontId="9" fillId="0" borderId="0" xfId="2" applyAlignment="1">
      <alignment horizontal="center"/>
    </xf>
    <xf numFmtId="0" fontId="63" fillId="13" borderId="0" xfId="2" applyFont="1" applyFill="1" applyAlignment="1">
      <alignment horizontal="left" indent="2"/>
    </xf>
    <xf numFmtId="0" fontId="9" fillId="13" borderId="0" xfId="2" applyFill="1" applyAlignment="1">
      <alignment horizontal="left" indent="2"/>
    </xf>
    <xf numFmtId="0" fontId="9" fillId="0" borderId="0" xfId="2" applyAlignment="1">
      <alignment horizontal="left"/>
    </xf>
    <xf numFmtId="0" fontId="63" fillId="13" borderId="0" xfId="2" applyFont="1" applyFill="1" applyAlignment="1">
      <alignment horizontal="left" indent="1"/>
    </xf>
  </cellXfs>
  <cellStyles count="4">
    <cellStyle name="Currency" xfId="1" builtinId="4"/>
    <cellStyle name="Hyperlink" xfId="2" builtinId="8"/>
    <cellStyle name="Normal" xfId="0" builtinId="0"/>
    <cellStyle name="Percent" xfId="3" builtinId="5"/>
  </cellStyles>
  <dxfs count="23">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s>
  <tableStyles count="0" defaultTableStyle="TableStyleMedium2" defaultPivotStyle="PivotStyleLight16"/>
  <colors>
    <mruColors>
      <color rgb="FFFFFF99"/>
      <color rgb="FFFFFF00"/>
      <color rgb="FFFFFFCC"/>
      <color rgb="FF0000FF"/>
      <color rgb="FF009900"/>
      <color rgb="FFF15928"/>
      <color rgb="FFFFCCFF"/>
      <color rgb="FFFFCCCC"/>
      <color rgb="FFFF99CC"/>
      <color rgb="FFF1592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A6D9-4309-87ED-2DD967C98651}"/>
              </c:ext>
            </c:extLst>
          </c:dPt>
          <c:dPt>
            <c:idx val="1"/>
            <c:bubble3D val="0"/>
            <c:spPr>
              <a:solidFill>
                <a:schemeClr val="accent3"/>
              </a:solidFill>
              <a:ln w="19050">
                <a:solidFill>
                  <a:schemeClr val="lt1"/>
                </a:solidFill>
              </a:ln>
              <a:effectLst/>
            </c:spPr>
            <c:extLst>
              <c:ext xmlns:c16="http://schemas.microsoft.com/office/drawing/2014/chart" uri="{C3380CC4-5D6E-409C-BE32-E72D297353CC}">
                <c16:uniqueId val="{00000003-A6D9-4309-87ED-2DD967C98651}"/>
              </c:ext>
            </c:extLst>
          </c:dPt>
          <c:dPt>
            <c:idx val="2"/>
            <c:bubble3D val="0"/>
            <c:spPr>
              <a:solidFill>
                <a:schemeClr val="accent2"/>
              </a:solidFill>
              <a:ln w="19050">
                <a:solidFill>
                  <a:schemeClr val="lt1"/>
                </a:solidFill>
              </a:ln>
              <a:effectLst/>
            </c:spPr>
            <c:extLst>
              <c:ext xmlns:c16="http://schemas.microsoft.com/office/drawing/2014/chart" uri="{C3380CC4-5D6E-409C-BE32-E72D297353CC}">
                <c16:uniqueId val="{00000005-A6D9-4309-87ED-2DD967C98651}"/>
              </c:ext>
            </c:extLst>
          </c:dPt>
          <c:val>
            <c:numRef>
              <c:f>'SPERT® 1921-2025'!$D$23:$D$25</c:f>
              <c:numCache>
                <c:formatCode>0%</c:formatCode>
                <c:ptCount val="3"/>
                <c:pt idx="0">
                  <c:v>0.10293157354631011</c:v>
                </c:pt>
                <c:pt idx="1">
                  <c:v>0.37608115418902732</c:v>
                </c:pt>
                <c:pt idx="2">
                  <c:v>0.52098727226466257</c:v>
                </c:pt>
              </c:numCache>
            </c:numRef>
          </c:val>
          <c:extLst>
            <c:ext xmlns:c16="http://schemas.microsoft.com/office/drawing/2014/chart" uri="{C3380CC4-5D6E-409C-BE32-E72D297353CC}">
              <c16:uniqueId val="{00000006-A6D9-4309-87ED-2DD967C98651}"/>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SPERT® Normal Distribution of Washington DC's</a:t>
            </a:r>
          </a:p>
          <a:p>
            <a:pPr>
              <a:defRPr/>
            </a:pPr>
            <a:r>
              <a:rPr lang="en-US"/>
              <a:t>Cherry Blossom Peak</a:t>
            </a:r>
          </a:p>
        </c:rich>
      </c:tx>
      <c:layout>
        <c:manualLayout>
          <c:xMode val="edge"/>
          <c:yMode val="edge"/>
          <c:x val="0.29356626752077641"/>
          <c:y val="2.313924924645802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3"/>
            </a:solidFill>
            <a:ln>
              <a:noFill/>
            </a:ln>
            <a:effectLst/>
          </c:spPr>
          <c:invertIfNegative val="0"/>
          <c:cat>
            <c:numRef>
              <c:f>'SPERT® 1921-2025'!$W$4:$HO$4</c:f>
              <c:numCache>
                <c:formatCode>#,##0_);\(#,##0\)</c:formatCode>
                <c:ptCount val="201"/>
                <c:pt idx="0">
                  <c:v>62.242857142857389</c:v>
                </c:pt>
                <c:pt idx="1">
                  <c:v>62.551428571428815</c:v>
                </c:pt>
                <c:pt idx="2">
                  <c:v>62.860000000000241</c:v>
                </c:pt>
                <c:pt idx="3">
                  <c:v>63.168571428571667</c:v>
                </c:pt>
                <c:pt idx="4">
                  <c:v>63.477142857143093</c:v>
                </c:pt>
                <c:pt idx="5">
                  <c:v>63.785714285714519</c:v>
                </c:pt>
                <c:pt idx="6">
                  <c:v>64.094285714285945</c:v>
                </c:pt>
                <c:pt idx="7">
                  <c:v>64.402857142857371</c:v>
                </c:pt>
                <c:pt idx="8">
                  <c:v>64.711428571428797</c:v>
                </c:pt>
                <c:pt idx="9">
                  <c:v>65.020000000000223</c:v>
                </c:pt>
                <c:pt idx="10">
                  <c:v>65.328571428571649</c:v>
                </c:pt>
                <c:pt idx="11">
                  <c:v>65.637142857143076</c:v>
                </c:pt>
                <c:pt idx="12">
                  <c:v>65.945714285714502</c:v>
                </c:pt>
                <c:pt idx="13">
                  <c:v>66.254285714285928</c:v>
                </c:pt>
                <c:pt idx="14">
                  <c:v>66.562857142857354</c:v>
                </c:pt>
                <c:pt idx="15">
                  <c:v>66.87142857142878</c:v>
                </c:pt>
                <c:pt idx="16">
                  <c:v>67.180000000000206</c:v>
                </c:pt>
                <c:pt idx="17">
                  <c:v>67.488571428571632</c:v>
                </c:pt>
                <c:pt idx="18">
                  <c:v>67.797142857143058</c:v>
                </c:pt>
                <c:pt idx="19">
                  <c:v>68.105714285714484</c:v>
                </c:pt>
                <c:pt idx="20">
                  <c:v>68.41428571428591</c:v>
                </c:pt>
                <c:pt idx="21">
                  <c:v>68.722857142857336</c:v>
                </c:pt>
                <c:pt idx="22">
                  <c:v>69.031428571428762</c:v>
                </c:pt>
                <c:pt idx="23">
                  <c:v>69.340000000000188</c:v>
                </c:pt>
                <c:pt idx="24">
                  <c:v>69.648571428571614</c:v>
                </c:pt>
                <c:pt idx="25">
                  <c:v>69.95714285714304</c:v>
                </c:pt>
                <c:pt idx="26">
                  <c:v>70.265714285714466</c:v>
                </c:pt>
                <c:pt idx="27">
                  <c:v>70.574285714285892</c:v>
                </c:pt>
                <c:pt idx="28">
                  <c:v>70.882857142857318</c:v>
                </c:pt>
                <c:pt idx="29">
                  <c:v>71.191428571428744</c:v>
                </c:pt>
                <c:pt idx="30">
                  <c:v>71.500000000000171</c:v>
                </c:pt>
                <c:pt idx="31">
                  <c:v>71.808571428571597</c:v>
                </c:pt>
                <c:pt idx="32">
                  <c:v>72.117142857143023</c:v>
                </c:pt>
                <c:pt idx="33">
                  <c:v>72.425714285714449</c:v>
                </c:pt>
                <c:pt idx="34">
                  <c:v>72.734285714285875</c:v>
                </c:pt>
                <c:pt idx="35">
                  <c:v>73.042857142857301</c:v>
                </c:pt>
                <c:pt idx="36">
                  <c:v>73.351428571428727</c:v>
                </c:pt>
                <c:pt idx="37">
                  <c:v>73.660000000000153</c:v>
                </c:pt>
                <c:pt idx="38">
                  <c:v>73.968571428571579</c:v>
                </c:pt>
                <c:pt idx="39">
                  <c:v>74.277142857143005</c:v>
                </c:pt>
                <c:pt idx="40">
                  <c:v>74.585714285714431</c:v>
                </c:pt>
                <c:pt idx="41">
                  <c:v>74.894285714285857</c:v>
                </c:pt>
                <c:pt idx="42">
                  <c:v>75.202857142857283</c:v>
                </c:pt>
                <c:pt idx="43">
                  <c:v>75.511428571428709</c:v>
                </c:pt>
                <c:pt idx="44">
                  <c:v>75.820000000000135</c:v>
                </c:pt>
                <c:pt idx="45">
                  <c:v>76.128571428571561</c:v>
                </c:pt>
                <c:pt idx="46">
                  <c:v>76.437142857142987</c:v>
                </c:pt>
                <c:pt idx="47">
                  <c:v>76.745714285714413</c:v>
                </c:pt>
                <c:pt idx="48">
                  <c:v>77.05428571428584</c:v>
                </c:pt>
                <c:pt idx="49">
                  <c:v>77.362857142857266</c:v>
                </c:pt>
                <c:pt idx="50">
                  <c:v>77.671428571428692</c:v>
                </c:pt>
                <c:pt idx="51">
                  <c:v>77.980000000000118</c:v>
                </c:pt>
                <c:pt idx="52">
                  <c:v>78.288571428571544</c:v>
                </c:pt>
                <c:pt idx="53">
                  <c:v>78.59714285714297</c:v>
                </c:pt>
                <c:pt idx="54">
                  <c:v>78.905714285714396</c:v>
                </c:pt>
                <c:pt idx="55">
                  <c:v>79.214285714285822</c:v>
                </c:pt>
                <c:pt idx="56">
                  <c:v>79.522857142857248</c:v>
                </c:pt>
                <c:pt idx="57">
                  <c:v>79.831428571428674</c:v>
                </c:pt>
                <c:pt idx="58">
                  <c:v>80.1400000000001</c:v>
                </c:pt>
                <c:pt idx="59">
                  <c:v>80.448571428571526</c:v>
                </c:pt>
                <c:pt idx="60">
                  <c:v>80.757142857142952</c:v>
                </c:pt>
                <c:pt idx="61">
                  <c:v>81.065714285714378</c:v>
                </c:pt>
                <c:pt idx="62">
                  <c:v>81.374285714285804</c:v>
                </c:pt>
                <c:pt idx="63">
                  <c:v>81.68285714285723</c:v>
                </c:pt>
                <c:pt idx="64">
                  <c:v>81.991428571428656</c:v>
                </c:pt>
                <c:pt idx="65">
                  <c:v>82.300000000000082</c:v>
                </c:pt>
                <c:pt idx="66">
                  <c:v>82.608571428571508</c:v>
                </c:pt>
                <c:pt idx="67">
                  <c:v>82.917142857142935</c:v>
                </c:pt>
                <c:pt idx="68">
                  <c:v>83.225714285714361</c:v>
                </c:pt>
                <c:pt idx="69">
                  <c:v>83.534285714285787</c:v>
                </c:pt>
                <c:pt idx="70">
                  <c:v>83.842857142857213</c:v>
                </c:pt>
                <c:pt idx="71">
                  <c:v>84.151428571428639</c:v>
                </c:pt>
                <c:pt idx="72">
                  <c:v>84.460000000000065</c:v>
                </c:pt>
                <c:pt idx="73">
                  <c:v>84.768571428571491</c:v>
                </c:pt>
                <c:pt idx="74">
                  <c:v>85.077142857142917</c:v>
                </c:pt>
                <c:pt idx="75">
                  <c:v>85.385714285714343</c:v>
                </c:pt>
                <c:pt idx="76">
                  <c:v>85.694285714285769</c:v>
                </c:pt>
                <c:pt idx="77">
                  <c:v>86.002857142857195</c:v>
                </c:pt>
                <c:pt idx="78">
                  <c:v>86.311428571428621</c:v>
                </c:pt>
                <c:pt idx="79">
                  <c:v>86.620000000000047</c:v>
                </c:pt>
                <c:pt idx="80">
                  <c:v>86.928571428571473</c:v>
                </c:pt>
                <c:pt idx="81">
                  <c:v>87.237142857142899</c:v>
                </c:pt>
                <c:pt idx="82">
                  <c:v>87.545714285714325</c:v>
                </c:pt>
                <c:pt idx="83">
                  <c:v>87.854285714285751</c:v>
                </c:pt>
                <c:pt idx="84">
                  <c:v>88.162857142857177</c:v>
                </c:pt>
                <c:pt idx="85">
                  <c:v>88.471428571428604</c:v>
                </c:pt>
                <c:pt idx="86">
                  <c:v>88.78000000000003</c:v>
                </c:pt>
                <c:pt idx="87">
                  <c:v>89.088571428571456</c:v>
                </c:pt>
                <c:pt idx="88">
                  <c:v>89.397142857142882</c:v>
                </c:pt>
                <c:pt idx="89">
                  <c:v>89.705714285714308</c:v>
                </c:pt>
                <c:pt idx="90">
                  <c:v>90.014285714285734</c:v>
                </c:pt>
                <c:pt idx="91">
                  <c:v>90.32285714285716</c:v>
                </c:pt>
                <c:pt idx="92">
                  <c:v>90.631428571428586</c:v>
                </c:pt>
                <c:pt idx="93">
                  <c:v>90.940000000000012</c:v>
                </c:pt>
                <c:pt idx="94">
                  <c:v>91.248571428571438</c:v>
                </c:pt>
                <c:pt idx="95">
                  <c:v>91.557142857142864</c:v>
                </c:pt>
                <c:pt idx="96">
                  <c:v>91.86571428571429</c:v>
                </c:pt>
                <c:pt idx="97">
                  <c:v>92.174285714285716</c:v>
                </c:pt>
                <c:pt idx="98">
                  <c:v>92.482857142857142</c:v>
                </c:pt>
                <c:pt idx="99">
                  <c:v>92.791428571428568</c:v>
                </c:pt>
                <c:pt idx="100">
                  <c:v>93.1</c:v>
                </c:pt>
                <c:pt idx="101">
                  <c:v>93.40857142857142</c:v>
                </c:pt>
                <c:pt idx="102">
                  <c:v>93.717142857142846</c:v>
                </c:pt>
                <c:pt idx="103">
                  <c:v>94.025714285714272</c:v>
                </c:pt>
                <c:pt idx="104">
                  <c:v>94.334285714285699</c:v>
                </c:pt>
                <c:pt idx="105">
                  <c:v>94.642857142857125</c:v>
                </c:pt>
                <c:pt idx="106">
                  <c:v>94.951428571428551</c:v>
                </c:pt>
                <c:pt idx="107">
                  <c:v>95.259999999999977</c:v>
                </c:pt>
                <c:pt idx="108">
                  <c:v>95.568571428571403</c:v>
                </c:pt>
                <c:pt idx="109">
                  <c:v>95.877142857142829</c:v>
                </c:pt>
                <c:pt idx="110">
                  <c:v>96.185714285714255</c:v>
                </c:pt>
                <c:pt idx="111">
                  <c:v>96.494285714285681</c:v>
                </c:pt>
                <c:pt idx="112">
                  <c:v>96.802857142857107</c:v>
                </c:pt>
                <c:pt idx="113">
                  <c:v>97.111428571428533</c:v>
                </c:pt>
                <c:pt idx="114">
                  <c:v>97.419999999999959</c:v>
                </c:pt>
                <c:pt idx="115">
                  <c:v>97.728571428571385</c:v>
                </c:pt>
                <c:pt idx="116">
                  <c:v>98.037142857142811</c:v>
                </c:pt>
                <c:pt idx="117">
                  <c:v>98.345714285714237</c:v>
                </c:pt>
                <c:pt idx="118">
                  <c:v>98.654285714285663</c:v>
                </c:pt>
                <c:pt idx="119">
                  <c:v>98.962857142857089</c:v>
                </c:pt>
                <c:pt idx="120">
                  <c:v>99.271428571428515</c:v>
                </c:pt>
                <c:pt idx="121">
                  <c:v>99.579999999999941</c:v>
                </c:pt>
                <c:pt idx="122">
                  <c:v>99.888571428571368</c:v>
                </c:pt>
                <c:pt idx="123">
                  <c:v>100.19714285714279</c:v>
                </c:pt>
                <c:pt idx="124">
                  <c:v>100.50571428571422</c:v>
                </c:pt>
                <c:pt idx="125">
                  <c:v>100.81428571428565</c:v>
                </c:pt>
                <c:pt idx="126">
                  <c:v>101.12285714285707</c:v>
                </c:pt>
                <c:pt idx="127">
                  <c:v>101.4314285714285</c:v>
                </c:pt>
                <c:pt idx="128">
                  <c:v>101.73999999999992</c:v>
                </c:pt>
                <c:pt idx="129">
                  <c:v>102.04857142857135</c:v>
                </c:pt>
                <c:pt idx="130">
                  <c:v>102.35714285714278</c:v>
                </c:pt>
                <c:pt idx="131">
                  <c:v>102.6657142857142</c:v>
                </c:pt>
                <c:pt idx="132">
                  <c:v>102.97428571428563</c:v>
                </c:pt>
                <c:pt idx="133">
                  <c:v>103.28285714285705</c:v>
                </c:pt>
                <c:pt idx="134">
                  <c:v>103.59142857142848</c:v>
                </c:pt>
                <c:pt idx="135">
                  <c:v>103.89999999999991</c:v>
                </c:pt>
                <c:pt idx="136">
                  <c:v>104.20857142857133</c:v>
                </c:pt>
                <c:pt idx="137">
                  <c:v>104.51714285714276</c:v>
                </c:pt>
                <c:pt idx="138">
                  <c:v>104.82571428571418</c:v>
                </c:pt>
                <c:pt idx="139">
                  <c:v>105.13428571428561</c:v>
                </c:pt>
                <c:pt idx="140">
                  <c:v>105.44285714285704</c:v>
                </c:pt>
                <c:pt idx="141">
                  <c:v>105.75142857142846</c:v>
                </c:pt>
                <c:pt idx="142">
                  <c:v>106.05999999999989</c:v>
                </c:pt>
                <c:pt idx="143">
                  <c:v>106.36857142857131</c:v>
                </c:pt>
                <c:pt idx="144">
                  <c:v>106.67714285714274</c:v>
                </c:pt>
                <c:pt idx="145">
                  <c:v>106.98571428571417</c:v>
                </c:pt>
                <c:pt idx="146">
                  <c:v>107.29428571428559</c:v>
                </c:pt>
                <c:pt idx="147">
                  <c:v>107.60285714285702</c:v>
                </c:pt>
                <c:pt idx="148">
                  <c:v>107.91142857142844</c:v>
                </c:pt>
                <c:pt idx="149">
                  <c:v>108.21999999999987</c:v>
                </c:pt>
                <c:pt idx="150">
                  <c:v>108.5285714285713</c:v>
                </c:pt>
                <c:pt idx="151">
                  <c:v>108.83714285714272</c:v>
                </c:pt>
                <c:pt idx="152">
                  <c:v>109.14571428571415</c:v>
                </c:pt>
                <c:pt idx="153">
                  <c:v>109.45428571428558</c:v>
                </c:pt>
                <c:pt idx="154">
                  <c:v>109.762857142857</c:v>
                </c:pt>
                <c:pt idx="155">
                  <c:v>110.07142857142843</c:v>
                </c:pt>
                <c:pt idx="156">
                  <c:v>110.37999999999985</c:v>
                </c:pt>
                <c:pt idx="157">
                  <c:v>110.68857142857128</c:v>
                </c:pt>
                <c:pt idx="158">
                  <c:v>110.99714285714271</c:v>
                </c:pt>
                <c:pt idx="159">
                  <c:v>111.30571428571413</c:v>
                </c:pt>
                <c:pt idx="160">
                  <c:v>111.61428571428556</c:v>
                </c:pt>
                <c:pt idx="161">
                  <c:v>111.92285714285698</c:v>
                </c:pt>
                <c:pt idx="162">
                  <c:v>112.23142857142841</c:v>
                </c:pt>
                <c:pt idx="163">
                  <c:v>112.53999999999984</c:v>
                </c:pt>
                <c:pt idx="164">
                  <c:v>112.84857142857126</c:v>
                </c:pt>
                <c:pt idx="165">
                  <c:v>113.15714285714269</c:v>
                </c:pt>
                <c:pt idx="166">
                  <c:v>113.46571428571411</c:v>
                </c:pt>
                <c:pt idx="167">
                  <c:v>113.77428571428554</c:v>
                </c:pt>
                <c:pt idx="168">
                  <c:v>114.08285714285697</c:v>
                </c:pt>
                <c:pt idx="169">
                  <c:v>114.39142857142839</c:v>
                </c:pt>
                <c:pt idx="170">
                  <c:v>114.69999999999982</c:v>
                </c:pt>
                <c:pt idx="171">
                  <c:v>115.00857142857124</c:v>
                </c:pt>
                <c:pt idx="172">
                  <c:v>115.31714285714267</c:v>
                </c:pt>
                <c:pt idx="173">
                  <c:v>115.6257142857141</c:v>
                </c:pt>
                <c:pt idx="174">
                  <c:v>115.93428571428552</c:v>
                </c:pt>
                <c:pt idx="175">
                  <c:v>116.24285714285695</c:v>
                </c:pt>
                <c:pt idx="176">
                  <c:v>116.55142857142837</c:v>
                </c:pt>
                <c:pt idx="177">
                  <c:v>116.8599999999998</c:v>
                </c:pt>
                <c:pt idx="178">
                  <c:v>117.16857142857123</c:v>
                </c:pt>
                <c:pt idx="179">
                  <c:v>117.47714285714265</c:v>
                </c:pt>
                <c:pt idx="180">
                  <c:v>117.78571428571408</c:v>
                </c:pt>
                <c:pt idx="181">
                  <c:v>118.0942857142855</c:v>
                </c:pt>
                <c:pt idx="182">
                  <c:v>118.40285714285693</c:v>
                </c:pt>
                <c:pt idx="183">
                  <c:v>118.71142857142836</c:v>
                </c:pt>
                <c:pt idx="184">
                  <c:v>119.01999999999978</c:v>
                </c:pt>
                <c:pt idx="185">
                  <c:v>119.32857142857121</c:v>
                </c:pt>
                <c:pt idx="186">
                  <c:v>119.63714285714263</c:v>
                </c:pt>
                <c:pt idx="187">
                  <c:v>119.94571428571406</c:v>
                </c:pt>
                <c:pt idx="188">
                  <c:v>120.25428571428549</c:v>
                </c:pt>
                <c:pt idx="189">
                  <c:v>120.56285714285691</c:v>
                </c:pt>
                <c:pt idx="190">
                  <c:v>120.87142857142834</c:v>
                </c:pt>
                <c:pt idx="191">
                  <c:v>121.17999999999977</c:v>
                </c:pt>
                <c:pt idx="192">
                  <c:v>121.48857142857119</c:v>
                </c:pt>
                <c:pt idx="193">
                  <c:v>121.79714285714262</c:v>
                </c:pt>
                <c:pt idx="194">
                  <c:v>122.10571428571404</c:v>
                </c:pt>
                <c:pt idx="195">
                  <c:v>122.41428571428547</c:v>
                </c:pt>
                <c:pt idx="196">
                  <c:v>122.7228571428569</c:v>
                </c:pt>
                <c:pt idx="197">
                  <c:v>123.03142857142832</c:v>
                </c:pt>
                <c:pt idx="198">
                  <c:v>123.33999999999975</c:v>
                </c:pt>
                <c:pt idx="199">
                  <c:v>123.64857142857117</c:v>
                </c:pt>
                <c:pt idx="200">
                  <c:v>123.9571428571426</c:v>
                </c:pt>
              </c:numCache>
            </c:numRef>
          </c:cat>
          <c:val>
            <c:numRef>
              <c:f>'SPERT® 1921-2025'!$HP$8:$PH$8</c:f>
              <c:numCache>
                <c:formatCode>General</c:formatCode>
                <c:ptCount val="201"/>
                <c:pt idx="0">
                  <c:v>2.0000009907544015E-5</c:v>
                </c:pt>
                <c:pt idx="1">
                  <c:v>2.3476903931326837E-5</c:v>
                </c:pt>
                <c:pt idx="2">
                  <c:v>2.7512845421374587E-5</c:v>
                </c:pt>
                <c:pt idx="3">
                  <c:v>3.2189502662828577E-5</c:v>
                </c:pt>
                <c:pt idx="4">
                  <c:v>3.7599069634528677E-5</c:v>
                </c:pt>
                <c:pt idx="5">
                  <c:v>4.3845396719074988E-5</c:v>
                </c:pt>
                <c:pt idx="6">
                  <c:v>5.1045208557999907E-5</c:v>
                </c:pt>
                <c:pt idx="7">
                  <c:v>5.9329410676536208E-5</c:v>
                </c:pt>
                <c:pt idx="8">
                  <c:v>6.8844485668262829E-5</c:v>
                </c:pt>
                <c:pt idx="9">
                  <c:v>7.9753978746045277E-5</c:v>
                </c:pt>
                <c:pt idx="10">
                  <c:v>9.2240071323206602E-5</c:v>
                </c:pt>
                <c:pt idx="11">
                  <c:v>1.065052399801522E-4</c:v>
                </c:pt>
                <c:pt idx="12">
                  <c:v>1.2277399669084158E-4</c:v>
                </c:pt>
                <c:pt idx="13">
                  <c:v>1.4129470452675329E-4</c:v>
                </c:pt>
                <c:pt idx="14">
                  <c:v>1.6234146122205256E-4</c:v>
                </c:pt>
                <c:pt idx="15">
                  <c:v>1.8621604097422158E-4</c:v>
                </c:pt>
                <c:pt idx="16">
                  <c:v>2.132498826744421E-4</c:v>
                </c:pt>
                <c:pt idx="17">
                  <c:v>2.438061104203503E-4</c:v>
                </c:pt>
                <c:pt idx="18">
                  <c:v>2.7828156967339284E-4</c:v>
                </c:pt>
                <c:pt idx="19">
                  <c:v>3.1710885980139238E-4</c:v>
                </c:pt>
                <c:pt idx="20">
                  <c:v>3.6075834101656251E-4</c:v>
                </c:pt>
                <c:pt idx="21">
                  <c:v>4.0974009090758692E-4</c:v>
                </c:pt>
                <c:pt idx="22">
                  <c:v>4.6460578290454153E-4</c:v>
                </c:pt>
                <c:pt idx="23">
                  <c:v>5.2595045614576739E-4</c:v>
                </c:pt>
                <c:pt idx="24">
                  <c:v>5.9441414338031004E-4</c:v>
                </c:pt>
                <c:pt idx="25">
                  <c:v>6.7068332078768563E-4</c:v>
                </c:pt>
                <c:pt idx="26">
                  <c:v>7.554921409831135E-4</c:v>
                </c:pt>
                <c:pt idx="27">
                  <c:v>8.4962340806056232E-4</c:v>
                </c:pt>
                <c:pt idx="28">
                  <c:v>9.5390925137197441E-4</c:v>
                </c:pt>
                <c:pt idx="29">
                  <c:v>1.0692314529164176E-3</c:v>
                </c:pt>
                <c:pt idx="30">
                  <c:v>1.196521381788374E-3</c:v>
                </c:pt>
                <c:pt idx="31">
                  <c:v>1.336759488182405E-3</c:v>
                </c:pt>
                <c:pt idx="32">
                  <c:v>1.4909743090452821E-3</c:v>
                </c:pt>
                <c:pt idx="33">
                  <c:v>1.6602409376791593E-3</c:v>
                </c:pt>
                <c:pt idx="34">
                  <c:v>1.84567891050134E-3</c:v>
                </c:pt>
                <c:pt idx="35">
                  <c:v>2.0484494658247229E-3</c:v>
                </c:pt>
                <c:pt idx="36">
                  <c:v>2.269752132000188E-3</c:v>
                </c:pt>
                <c:pt idx="37">
                  <c:v>2.5108206056126993E-3</c:v>
                </c:pt>
                <c:pt idx="38">
                  <c:v>2.7729178846928708E-3</c:v>
                </c:pt>
                <c:pt idx="39">
                  <c:v>3.057330627129976E-3</c:v>
                </c:pt>
                <c:pt idx="40">
                  <c:v>3.3653627106735142E-3</c:v>
                </c:pt>
                <c:pt idx="41">
                  <c:v>3.6983279780963712E-3</c:v>
                </c:pt>
                <c:pt idx="42">
                  <c:v>4.0575421592548688E-3</c:v>
                </c:pt>
                <c:pt idx="43">
                  <c:v>4.4443139708937648E-3</c:v>
                </c:pt>
                <c:pt idx="44">
                  <c:v>4.8599354050624733E-3</c:v>
                </c:pt>
                <c:pt idx="45">
                  <c:v>5.3056712278669515E-3</c:v>
                </c:pt>
                <c:pt idx="46">
                  <c:v>5.7827477218938819E-3</c:v>
                </c:pt>
                <c:pt idx="47">
                  <c:v>6.2923407179025581E-3</c:v>
                </c:pt>
                <c:pt idx="48">
                  <c:v>6.8355629741559641E-3</c:v>
                </c:pt>
                <c:pt idx="49">
                  <c:v>7.4134509749066175E-3</c:v>
                </c:pt>
                <c:pt idx="50">
                  <c:v>8.0269512328946732E-3</c:v>
                </c:pt>
                <c:pt idx="51">
                  <c:v>8.6769061940672777E-3</c:v>
                </c:pt>
                <c:pt idx="52">
                  <c:v>9.3640398558835925E-3</c:v>
                </c:pt>
                <c:pt idx="53">
                  <c:v>1.0088943223310453E-2</c:v>
                </c:pt>
                <c:pt idx="54">
                  <c:v>1.0852059738707428E-2</c:v>
                </c:pt>
                <c:pt idx="55">
                  <c:v>1.1653670833008625E-2</c:v>
                </c:pt>
                <c:pt idx="56">
                  <c:v>1.2493881755688763E-2</c:v>
                </c:pt>
                <c:pt idx="57">
                  <c:v>1.337260784970907E-2</c:v>
                </c:pt>
                <c:pt idx="58">
                  <c:v>1.4289561444736636E-2</c:v>
                </c:pt>
                <c:pt idx="59">
                  <c:v>1.5244239547189379E-2</c:v>
                </c:pt>
                <c:pt idx="60">
                  <c:v>1.6235912508862894E-2</c:v>
                </c:pt>
                <c:pt idx="61">
                  <c:v>1.7263613856850681E-2</c:v>
                </c:pt>
                <c:pt idx="62">
                  <c:v>1.8326131466004258E-2</c:v>
                </c:pt>
                <c:pt idx="63">
                  <c:v>1.9422000251153357E-2</c:v>
                </c:pt>
                <c:pt idx="64">
                  <c:v>2.0549496549612318E-2</c:v>
                </c:pt>
                <c:pt idx="65">
                  <c:v>2.1706634355067065E-2</c:v>
                </c:pt>
                <c:pt idx="66">
                  <c:v>2.2891163551741724E-2</c:v>
                </c:pt>
                <c:pt idx="67">
                  <c:v>2.4100570282803404E-2</c:v>
                </c:pt>
                <c:pt idx="68">
                  <c:v>2.5332079569342848E-2</c:v>
                </c:pt>
                <c:pt idx="69">
                  <c:v>2.6582660276084445E-2</c:v>
                </c:pt>
                <c:pt idx="70">
                  <c:v>2.7849032497394691E-2</c:v>
                </c:pt>
                <c:pt idx="71">
                  <c:v>2.9127677412388572E-2</c:v>
                </c:pt>
                <c:pt idx="72">
                  <c:v>3.0414849631242042E-2</c:v>
                </c:pt>
                <c:pt idx="73">
                  <c:v>3.1706592026511896E-2</c:v>
                </c:pt>
                <c:pt idx="74">
                  <c:v>3.2998753013695321E-2</c:v>
                </c:pt>
                <c:pt idx="75">
                  <c:v>3.4287006214816736E-2</c:v>
                </c:pt>
                <c:pt idx="76">
                  <c:v>3.5566872407931334E-2</c:v>
                </c:pt>
                <c:pt idx="77">
                  <c:v>3.6833743634530972E-2</c:v>
                </c:pt>
                <c:pt idx="78">
                  <c:v>3.8082909306393686E-2</c:v>
                </c:pt>
                <c:pt idx="79">
                  <c:v>3.9309584123912687E-2</c:v>
                </c:pt>
                <c:pt idx="80">
                  <c:v>4.0508937589853154E-2</c:v>
                </c:pt>
                <c:pt idx="81">
                  <c:v>4.1676124876292152E-2</c:v>
                </c:pt>
                <c:pt idx="82">
                  <c:v>4.2806318778656406E-2</c:v>
                </c:pt>
                <c:pt idx="83">
                  <c:v>4.3894742469723275E-2</c:v>
                </c:pt>
                <c:pt idx="84">
                  <c:v>4.4936702748593266E-2</c:v>
                </c:pt>
                <c:pt idx="85">
                  <c:v>4.5927623465342765E-2</c:v>
                </c:pt>
                <c:pt idx="86">
                  <c:v>4.6863078791635607E-2</c:v>
                </c:pt>
                <c:pt idx="87">
                  <c:v>4.7738826001270496E-2</c:v>
                </c:pt>
                <c:pt idx="88">
                  <c:v>4.8550837422663334E-2</c:v>
                </c:pt>
                <c:pt idx="89">
                  <c:v>4.929533122773825E-2</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extLst>
            <c:ext xmlns:c16="http://schemas.microsoft.com/office/drawing/2014/chart" uri="{C3380CC4-5D6E-409C-BE32-E72D297353CC}">
              <c16:uniqueId val="{00000000-A1A1-4B74-BA7D-98C94BEDC5F4}"/>
            </c:ext>
          </c:extLst>
        </c:ser>
        <c:ser>
          <c:idx val="1"/>
          <c:order val="1"/>
          <c:spPr>
            <a:solidFill>
              <a:schemeClr val="accent1"/>
            </a:solidFill>
            <a:ln>
              <a:noFill/>
            </a:ln>
            <a:effectLst/>
          </c:spPr>
          <c:invertIfNegative val="0"/>
          <c:cat>
            <c:numRef>
              <c:f>'SPERT® 1921-2025'!$W$4:$HO$4</c:f>
              <c:numCache>
                <c:formatCode>#,##0_);\(#,##0\)</c:formatCode>
                <c:ptCount val="201"/>
                <c:pt idx="0">
                  <c:v>62.242857142857389</c:v>
                </c:pt>
                <c:pt idx="1">
                  <c:v>62.551428571428815</c:v>
                </c:pt>
                <c:pt idx="2">
                  <c:v>62.860000000000241</c:v>
                </c:pt>
                <c:pt idx="3">
                  <c:v>63.168571428571667</c:v>
                </c:pt>
                <c:pt idx="4">
                  <c:v>63.477142857143093</c:v>
                </c:pt>
                <c:pt idx="5">
                  <c:v>63.785714285714519</c:v>
                </c:pt>
                <c:pt idx="6">
                  <c:v>64.094285714285945</c:v>
                </c:pt>
                <c:pt idx="7">
                  <c:v>64.402857142857371</c:v>
                </c:pt>
                <c:pt idx="8">
                  <c:v>64.711428571428797</c:v>
                </c:pt>
                <c:pt idx="9">
                  <c:v>65.020000000000223</c:v>
                </c:pt>
                <c:pt idx="10">
                  <c:v>65.328571428571649</c:v>
                </c:pt>
                <c:pt idx="11">
                  <c:v>65.637142857143076</c:v>
                </c:pt>
                <c:pt idx="12">
                  <c:v>65.945714285714502</c:v>
                </c:pt>
                <c:pt idx="13">
                  <c:v>66.254285714285928</c:v>
                </c:pt>
                <c:pt idx="14">
                  <c:v>66.562857142857354</c:v>
                </c:pt>
                <c:pt idx="15">
                  <c:v>66.87142857142878</c:v>
                </c:pt>
                <c:pt idx="16">
                  <c:v>67.180000000000206</c:v>
                </c:pt>
                <c:pt idx="17">
                  <c:v>67.488571428571632</c:v>
                </c:pt>
                <c:pt idx="18">
                  <c:v>67.797142857143058</c:v>
                </c:pt>
                <c:pt idx="19">
                  <c:v>68.105714285714484</c:v>
                </c:pt>
                <c:pt idx="20">
                  <c:v>68.41428571428591</c:v>
                </c:pt>
                <c:pt idx="21">
                  <c:v>68.722857142857336</c:v>
                </c:pt>
                <c:pt idx="22">
                  <c:v>69.031428571428762</c:v>
                </c:pt>
                <c:pt idx="23">
                  <c:v>69.340000000000188</c:v>
                </c:pt>
                <c:pt idx="24">
                  <c:v>69.648571428571614</c:v>
                </c:pt>
                <c:pt idx="25">
                  <c:v>69.95714285714304</c:v>
                </c:pt>
                <c:pt idx="26">
                  <c:v>70.265714285714466</c:v>
                </c:pt>
                <c:pt idx="27">
                  <c:v>70.574285714285892</c:v>
                </c:pt>
                <c:pt idx="28">
                  <c:v>70.882857142857318</c:v>
                </c:pt>
                <c:pt idx="29">
                  <c:v>71.191428571428744</c:v>
                </c:pt>
                <c:pt idx="30">
                  <c:v>71.500000000000171</c:v>
                </c:pt>
                <c:pt idx="31">
                  <c:v>71.808571428571597</c:v>
                </c:pt>
                <c:pt idx="32">
                  <c:v>72.117142857143023</c:v>
                </c:pt>
                <c:pt idx="33">
                  <c:v>72.425714285714449</c:v>
                </c:pt>
                <c:pt idx="34">
                  <c:v>72.734285714285875</c:v>
                </c:pt>
                <c:pt idx="35">
                  <c:v>73.042857142857301</c:v>
                </c:pt>
                <c:pt idx="36">
                  <c:v>73.351428571428727</c:v>
                </c:pt>
                <c:pt idx="37">
                  <c:v>73.660000000000153</c:v>
                </c:pt>
                <c:pt idx="38">
                  <c:v>73.968571428571579</c:v>
                </c:pt>
                <c:pt idx="39">
                  <c:v>74.277142857143005</c:v>
                </c:pt>
                <c:pt idx="40">
                  <c:v>74.585714285714431</c:v>
                </c:pt>
                <c:pt idx="41">
                  <c:v>74.894285714285857</c:v>
                </c:pt>
                <c:pt idx="42">
                  <c:v>75.202857142857283</c:v>
                </c:pt>
                <c:pt idx="43">
                  <c:v>75.511428571428709</c:v>
                </c:pt>
                <c:pt idx="44">
                  <c:v>75.820000000000135</c:v>
                </c:pt>
                <c:pt idx="45">
                  <c:v>76.128571428571561</c:v>
                </c:pt>
                <c:pt idx="46">
                  <c:v>76.437142857142987</c:v>
                </c:pt>
                <c:pt idx="47">
                  <c:v>76.745714285714413</c:v>
                </c:pt>
                <c:pt idx="48">
                  <c:v>77.05428571428584</c:v>
                </c:pt>
                <c:pt idx="49">
                  <c:v>77.362857142857266</c:v>
                </c:pt>
                <c:pt idx="50">
                  <c:v>77.671428571428692</c:v>
                </c:pt>
                <c:pt idx="51">
                  <c:v>77.980000000000118</c:v>
                </c:pt>
                <c:pt idx="52">
                  <c:v>78.288571428571544</c:v>
                </c:pt>
                <c:pt idx="53">
                  <c:v>78.59714285714297</c:v>
                </c:pt>
                <c:pt idx="54">
                  <c:v>78.905714285714396</c:v>
                </c:pt>
                <c:pt idx="55">
                  <c:v>79.214285714285822</c:v>
                </c:pt>
                <c:pt idx="56">
                  <c:v>79.522857142857248</c:v>
                </c:pt>
                <c:pt idx="57">
                  <c:v>79.831428571428674</c:v>
                </c:pt>
                <c:pt idx="58">
                  <c:v>80.1400000000001</c:v>
                </c:pt>
                <c:pt idx="59">
                  <c:v>80.448571428571526</c:v>
                </c:pt>
                <c:pt idx="60">
                  <c:v>80.757142857142952</c:v>
                </c:pt>
                <c:pt idx="61">
                  <c:v>81.065714285714378</c:v>
                </c:pt>
                <c:pt idx="62">
                  <c:v>81.374285714285804</c:v>
                </c:pt>
                <c:pt idx="63">
                  <c:v>81.68285714285723</c:v>
                </c:pt>
                <c:pt idx="64">
                  <c:v>81.991428571428656</c:v>
                </c:pt>
                <c:pt idx="65">
                  <c:v>82.300000000000082</c:v>
                </c:pt>
                <c:pt idx="66">
                  <c:v>82.608571428571508</c:v>
                </c:pt>
                <c:pt idx="67">
                  <c:v>82.917142857142935</c:v>
                </c:pt>
                <c:pt idx="68">
                  <c:v>83.225714285714361</c:v>
                </c:pt>
                <c:pt idx="69">
                  <c:v>83.534285714285787</c:v>
                </c:pt>
                <c:pt idx="70">
                  <c:v>83.842857142857213</c:v>
                </c:pt>
                <c:pt idx="71">
                  <c:v>84.151428571428639</c:v>
                </c:pt>
                <c:pt idx="72">
                  <c:v>84.460000000000065</c:v>
                </c:pt>
                <c:pt idx="73">
                  <c:v>84.768571428571491</c:v>
                </c:pt>
                <c:pt idx="74">
                  <c:v>85.077142857142917</c:v>
                </c:pt>
                <c:pt idx="75">
                  <c:v>85.385714285714343</c:v>
                </c:pt>
                <c:pt idx="76">
                  <c:v>85.694285714285769</c:v>
                </c:pt>
                <c:pt idx="77">
                  <c:v>86.002857142857195</c:v>
                </c:pt>
                <c:pt idx="78">
                  <c:v>86.311428571428621</c:v>
                </c:pt>
                <c:pt idx="79">
                  <c:v>86.620000000000047</c:v>
                </c:pt>
                <c:pt idx="80">
                  <c:v>86.928571428571473</c:v>
                </c:pt>
                <c:pt idx="81">
                  <c:v>87.237142857142899</c:v>
                </c:pt>
                <c:pt idx="82">
                  <c:v>87.545714285714325</c:v>
                </c:pt>
                <c:pt idx="83">
                  <c:v>87.854285714285751</c:v>
                </c:pt>
                <c:pt idx="84">
                  <c:v>88.162857142857177</c:v>
                </c:pt>
                <c:pt idx="85">
                  <c:v>88.471428571428604</c:v>
                </c:pt>
                <c:pt idx="86">
                  <c:v>88.78000000000003</c:v>
                </c:pt>
                <c:pt idx="87">
                  <c:v>89.088571428571456</c:v>
                </c:pt>
                <c:pt idx="88">
                  <c:v>89.397142857142882</c:v>
                </c:pt>
                <c:pt idx="89">
                  <c:v>89.705714285714308</c:v>
                </c:pt>
                <c:pt idx="90">
                  <c:v>90.014285714285734</c:v>
                </c:pt>
                <c:pt idx="91">
                  <c:v>90.32285714285716</c:v>
                </c:pt>
                <c:pt idx="92">
                  <c:v>90.631428571428586</c:v>
                </c:pt>
                <c:pt idx="93">
                  <c:v>90.940000000000012</c:v>
                </c:pt>
                <c:pt idx="94">
                  <c:v>91.248571428571438</c:v>
                </c:pt>
                <c:pt idx="95">
                  <c:v>91.557142857142864</c:v>
                </c:pt>
                <c:pt idx="96">
                  <c:v>91.86571428571429</c:v>
                </c:pt>
                <c:pt idx="97">
                  <c:v>92.174285714285716</c:v>
                </c:pt>
                <c:pt idx="98">
                  <c:v>92.482857142857142</c:v>
                </c:pt>
                <c:pt idx="99">
                  <c:v>92.791428571428568</c:v>
                </c:pt>
                <c:pt idx="100">
                  <c:v>93.1</c:v>
                </c:pt>
                <c:pt idx="101">
                  <c:v>93.40857142857142</c:v>
                </c:pt>
                <c:pt idx="102">
                  <c:v>93.717142857142846</c:v>
                </c:pt>
                <c:pt idx="103">
                  <c:v>94.025714285714272</c:v>
                </c:pt>
                <c:pt idx="104">
                  <c:v>94.334285714285699</c:v>
                </c:pt>
                <c:pt idx="105">
                  <c:v>94.642857142857125</c:v>
                </c:pt>
                <c:pt idx="106">
                  <c:v>94.951428571428551</c:v>
                </c:pt>
                <c:pt idx="107">
                  <c:v>95.259999999999977</c:v>
                </c:pt>
                <c:pt idx="108">
                  <c:v>95.568571428571403</c:v>
                </c:pt>
                <c:pt idx="109">
                  <c:v>95.877142857142829</c:v>
                </c:pt>
                <c:pt idx="110">
                  <c:v>96.185714285714255</c:v>
                </c:pt>
                <c:pt idx="111">
                  <c:v>96.494285714285681</c:v>
                </c:pt>
                <c:pt idx="112">
                  <c:v>96.802857142857107</c:v>
                </c:pt>
                <c:pt idx="113">
                  <c:v>97.111428571428533</c:v>
                </c:pt>
                <c:pt idx="114">
                  <c:v>97.419999999999959</c:v>
                </c:pt>
                <c:pt idx="115">
                  <c:v>97.728571428571385</c:v>
                </c:pt>
                <c:pt idx="116">
                  <c:v>98.037142857142811</c:v>
                </c:pt>
                <c:pt idx="117">
                  <c:v>98.345714285714237</c:v>
                </c:pt>
                <c:pt idx="118">
                  <c:v>98.654285714285663</c:v>
                </c:pt>
                <c:pt idx="119">
                  <c:v>98.962857142857089</c:v>
                </c:pt>
                <c:pt idx="120">
                  <c:v>99.271428571428515</c:v>
                </c:pt>
                <c:pt idx="121">
                  <c:v>99.579999999999941</c:v>
                </c:pt>
                <c:pt idx="122">
                  <c:v>99.888571428571368</c:v>
                </c:pt>
                <c:pt idx="123">
                  <c:v>100.19714285714279</c:v>
                </c:pt>
                <c:pt idx="124">
                  <c:v>100.50571428571422</c:v>
                </c:pt>
                <c:pt idx="125">
                  <c:v>100.81428571428565</c:v>
                </c:pt>
                <c:pt idx="126">
                  <c:v>101.12285714285707</c:v>
                </c:pt>
                <c:pt idx="127">
                  <c:v>101.4314285714285</c:v>
                </c:pt>
                <c:pt idx="128">
                  <c:v>101.73999999999992</c:v>
                </c:pt>
                <c:pt idx="129">
                  <c:v>102.04857142857135</c:v>
                </c:pt>
                <c:pt idx="130">
                  <c:v>102.35714285714278</c:v>
                </c:pt>
                <c:pt idx="131">
                  <c:v>102.6657142857142</c:v>
                </c:pt>
                <c:pt idx="132">
                  <c:v>102.97428571428563</c:v>
                </c:pt>
                <c:pt idx="133">
                  <c:v>103.28285714285705</c:v>
                </c:pt>
                <c:pt idx="134">
                  <c:v>103.59142857142848</c:v>
                </c:pt>
                <c:pt idx="135">
                  <c:v>103.89999999999991</c:v>
                </c:pt>
                <c:pt idx="136">
                  <c:v>104.20857142857133</c:v>
                </c:pt>
                <c:pt idx="137">
                  <c:v>104.51714285714276</c:v>
                </c:pt>
                <c:pt idx="138">
                  <c:v>104.82571428571418</c:v>
                </c:pt>
                <c:pt idx="139">
                  <c:v>105.13428571428561</c:v>
                </c:pt>
                <c:pt idx="140">
                  <c:v>105.44285714285704</c:v>
                </c:pt>
                <c:pt idx="141">
                  <c:v>105.75142857142846</c:v>
                </c:pt>
                <c:pt idx="142">
                  <c:v>106.05999999999989</c:v>
                </c:pt>
                <c:pt idx="143">
                  <c:v>106.36857142857131</c:v>
                </c:pt>
                <c:pt idx="144">
                  <c:v>106.67714285714274</c:v>
                </c:pt>
                <c:pt idx="145">
                  <c:v>106.98571428571417</c:v>
                </c:pt>
                <c:pt idx="146">
                  <c:v>107.29428571428559</c:v>
                </c:pt>
                <c:pt idx="147">
                  <c:v>107.60285714285702</c:v>
                </c:pt>
                <c:pt idx="148">
                  <c:v>107.91142857142844</c:v>
                </c:pt>
                <c:pt idx="149">
                  <c:v>108.21999999999987</c:v>
                </c:pt>
                <c:pt idx="150">
                  <c:v>108.5285714285713</c:v>
                </c:pt>
                <c:pt idx="151">
                  <c:v>108.83714285714272</c:v>
                </c:pt>
                <c:pt idx="152">
                  <c:v>109.14571428571415</c:v>
                </c:pt>
                <c:pt idx="153">
                  <c:v>109.45428571428558</c:v>
                </c:pt>
                <c:pt idx="154">
                  <c:v>109.762857142857</c:v>
                </c:pt>
                <c:pt idx="155">
                  <c:v>110.07142857142843</c:v>
                </c:pt>
                <c:pt idx="156">
                  <c:v>110.37999999999985</c:v>
                </c:pt>
                <c:pt idx="157">
                  <c:v>110.68857142857128</c:v>
                </c:pt>
                <c:pt idx="158">
                  <c:v>110.99714285714271</c:v>
                </c:pt>
                <c:pt idx="159">
                  <c:v>111.30571428571413</c:v>
                </c:pt>
                <c:pt idx="160">
                  <c:v>111.61428571428556</c:v>
                </c:pt>
                <c:pt idx="161">
                  <c:v>111.92285714285698</c:v>
                </c:pt>
                <c:pt idx="162">
                  <c:v>112.23142857142841</c:v>
                </c:pt>
                <c:pt idx="163">
                  <c:v>112.53999999999984</c:v>
                </c:pt>
                <c:pt idx="164">
                  <c:v>112.84857142857126</c:v>
                </c:pt>
                <c:pt idx="165">
                  <c:v>113.15714285714269</c:v>
                </c:pt>
                <c:pt idx="166">
                  <c:v>113.46571428571411</c:v>
                </c:pt>
                <c:pt idx="167">
                  <c:v>113.77428571428554</c:v>
                </c:pt>
                <c:pt idx="168">
                  <c:v>114.08285714285697</c:v>
                </c:pt>
                <c:pt idx="169">
                  <c:v>114.39142857142839</c:v>
                </c:pt>
                <c:pt idx="170">
                  <c:v>114.69999999999982</c:v>
                </c:pt>
                <c:pt idx="171">
                  <c:v>115.00857142857124</c:v>
                </c:pt>
                <c:pt idx="172">
                  <c:v>115.31714285714267</c:v>
                </c:pt>
                <c:pt idx="173">
                  <c:v>115.6257142857141</c:v>
                </c:pt>
                <c:pt idx="174">
                  <c:v>115.93428571428552</c:v>
                </c:pt>
                <c:pt idx="175">
                  <c:v>116.24285714285695</c:v>
                </c:pt>
                <c:pt idx="176">
                  <c:v>116.55142857142837</c:v>
                </c:pt>
                <c:pt idx="177">
                  <c:v>116.8599999999998</c:v>
                </c:pt>
                <c:pt idx="178">
                  <c:v>117.16857142857123</c:v>
                </c:pt>
                <c:pt idx="179">
                  <c:v>117.47714285714265</c:v>
                </c:pt>
                <c:pt idx="180">
                  <c:v>117.78571428571408</c:v>
                </c:pt>
                <c:pt idx="181">
                  <c:v>118.0942857142855</c:v>
                </c:pt>
                <c:pt idx="182">
                  <c:v>118.40285714285693</c:v>
                </c:pt>
                <c:pt idx="183">
                  <c:v>118.71142857142836</c:v>
                </c:pt>
                <c:pt idx="184">
                  <c:v>119.01999999999978</c:v>
                </c:pt>
                <c:pt idx="185">
                  <c:v>119.32857142857121</c:v>
                </c:pt>
                <c:pt idx="186">
                  <c:v>119.63714285714263</c:v>
                </c:pt>
                <c:pt idx="187">
                  <c:v>119.94571428571406</c:v>
                </c:pt>
                <c:pt idx="188">
                  <c:v>120.25428571428549</c:v>
                </c:pt>
                <c:pt idx="189">
                  <c:v>120.56285714285691</c:v>
                </c:pt>
                <c:pt idx="190">
                  <c:v>120.87142857142834</c:v>
                </c:pt>
                <c:pt idx="191">
                  <c:v>121.17999999999977</c:v>
                </c:pt>
                <c:pt idx="192">
                  <c:v>121.48857142857119</c:v>
                </c:pt>
                <c:pt idx="193">
                  <c:v>121.79714285714262</c:v>
                </c:pt>
                <c:pt idx="194">
                  <c:v>122.10571428571404</c:v>
                </c:pt>
                <c:pt idx="195">
                  <c:v>122.41428571428547</c:v>
                </c:pt>
                <c:pt idx="196">
                  <c:v>122.7228571428569</c:v>
                </c:pt>
                <c:pt idx="197">
                  <c:v>123.03142857142832</c:v>
                </c:pt>
                <c:pt idx="198">
                  <c:v>123.33999999999975</c:v>
                </c:pt>
                <c:pt idx="199">
                  <c:v>123.64857142857117</c:v>
                </c:pt>
                <c:pt idx="200">
                  <c:v>123.9571428571426</c:v>
                </c:pt>
              </c:numCache>
            </c:numRef>
          </c:cat>
          <c:val>
            <c:numRef>
              <c:f>'SPERT® 1921-2025'!$HP$9:$PH$9</c:f>
              <c:numCache>
                <c:formatCode>General</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4.9968800728685203E-2</c:v>
                </c:pt>
                <c:pt idx="91">
                  <c:v>5.0568041865519421E-2</c:v>
                </c:pt>
                <c:pt idx="92">
                  <c:v>5.1090178583257422E-2</c:v>
                </c:pt>
                <c:pt idx="93">
                  <c:v>5.1532685817640346E-2</c:v>
                </c:pt>
                <c:pt idx="94">
                  <c:v>5.1893409832448098E-2</c:v>
                </c:pt>
                <c:pt idx="95">
                  <c:v>5.2170585679251966E-2</c:v>
                </c:pt>
                <c:pt idx="96">
                  <c:v>5.2362851581573083E-2</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extLst>
            <c:ext xmlns:c16="http://schemas.microsoft.com/office/drawing/2014/chart" uri="{C3380CC4-5D6E-409C-BE32-E72D297353CC}">
              <c16:uniqueId val="{00000001-A1A1-4B74-BA7D-98C94BEDC5F4}"/>
            </c:ext>
          </c:extLst>
        </c:ser>
        <c:ser>
          <c:idx val="2"/>
          <c:order val="2"/>
          <c:spPr>
            <a:solidFill>
              <a:schemeClr val="accent2"/>
            </a:solidFill>
            <a:ln>
              <a:noFill/>
            </a:ln>
            <a:effectLst/>
          </c:spPr>
          <c:invertIfNegative val="0"/>
          <c:cat>
            <c:numRef>
              <c:f>'SPERT® 1921-2025'!$W$4:$HO$4</c:f>
              <c:numCache>
                <c:formatCode>#,##0_);\(#,##0\)</c:formatCode>
                <c:ptCount val="201"/>
                <c:pt idx="0">
                  <c:v>62.242857142857389</c:v>
                </c:pt>
                <c:pt idx="1">
                  <c:v>62.551428571428815</c:v>
                </c:pt>
                <c:pt idx="2">
                  <c:v>62.860000000000241</c:v>
                </c:pt>
                <c:pt idx="3">
                  <c:v>63.168571428571667</c:v>
                </c:pt>
                <c:pt idx="4">
                  <c:v>63.477142857143093</c:v>
                </c:pt>
                <c:pt idx="5">
                  <c:v>63.785714285714519</c:v>
                </c:pt>
                <c:pt idx="6">
                  <c:v>64.094285714285945</c:v>
                </c:pt>
                <c:pt idx="7">
                  <c:v>64.402857142857371</c:v>
                </c:pt>
                <c:pt idx="8">
                  <c:v>64.711428571428797</c:v>
                </c:pt>
                <c:pt idx="9">
                  <c:v>65.020000000000223</c:v>
                </c:pt>
                <c:pt idx="10">
                  <c:v>65.328571428571649</c:v>
                </c:pt>
                <c:pt idx="11">
                  <c:v>65.637142857143076</c:v>
                </c:pt>
                <c:pt idx="12">
                  <c:v>65.945714285714502</c:v>
                </c:pt>
                <c:pt idx="13">
                  <c:v>66.254285714285928</c:v>
                </c:pt>
                <c:pt idx="14">
                  <c:v>66.562857142857354</c:v>
                </c:pt>
                <c:pt idx="15">
                  <c:v>66.87142857142878</c:v>
                </c:pt>
                <c:pt idx="16">
                  <c:v>67.180000000000206</c:v>
                </c:pt>
                <c:pt idx="17">
                  <c:v>67.488571428571632</c:v>
                </c:pt>
                <c:pt idx="18">
                  <c:v>67.797142857143058</c:v>
                </c:pt>
                <c:pt idx="19">
                  <c:v>68.105714285714484</c:v>
                </c:pt>
                <c:pt idx="20">
                  <c:v>68.41428571428591</c:v>
                </c:pt>
                <c:pt idx="21">
                  <c:v>68.722857142857336</c:v>
                </c:pt>
                <c:pt idx="22">
                  <c:v>69.031428571428762</c:v>
                </c:pt>
                <c:pt idx="23">
                  <c:v>69.340000000000188</c:v>
                </c:pt>
                <c:pt idx="24">
                  <c:v>69.648571428571614</c:v>
                </c:pt>
                <c:pt idx="25">
                  <c:v>69.95714285714304</c:v>
                </c:pt>
                <c:pt idx="26">
                  <c:v>70.265714285714466</c:v>
                </c:pt>
                <c:pt idx="27">
                  <c:v>70.574285714285892</c:v>
                </c:pt>
                <c:pt idx="28">
                  <c:v>70.882857142857318</c:v>
                </c:pt>
                <c:pt idx="29">
                  <c:v>71.191428571428744</c:v>
                </c:pt>
                <c:pt idx="30">
                  <c:v>71.500000000000171</c:v>
                </c:pt>
                <c:pt idx="31">
                  <c:v>71.808571428571597</c:v>
                </c:pt>
                <c:pt idx="32">
                  <c:v>72.117142857143023</c:v>
                </c:pt>
                <c:pt idx="33">
                  <c:v>72.425714285714449</c:v>
                </c:pt>
                <c:pt idx="34">
                  <c:v>72.734285714285875</c:v>
                </c:pt>
                <c:pt idx="35">
                  <c:v>73.042857142857301</c:v>
                </c:pt>
                <c:pt idx="36">
                  <c:v>73.351428571428727</c:v>
                </c:pt>
                <c:pt idx="37">
                  <c:v>73.660000000000153</c:v>
                </c:pt>
                <c:pt idx="38">
                  <c:v>73.968571428571579</c:v>
                </c:pt>
                <c:pt idx="39">
                  <c:v>74.277142857143005</c:v>
                </c:pt>
                <c:pt idx="40">
                  <c:v>74.585714285714431</c:v>
                </c:pt>
                <c:pt idx="41">
                  <c:v>74.894285714285857</c:v>
                </c:pt>
                <c:pt idx="42">
                  <c:v>75.202857142857283</c:v>
                </c:pt>
                <c:pt idx="43">
                  <c:v>75.511428571428709</c:v>
                </c:pt>
                <c:pt idx="44">
                  <c:v>75.820000000000135</c:v>
                </c:pt>
                <c:pt idx="45">
                  <c:v>76.128571428571561</c:v>
                </c:pt>
                <c:pt idx="46">
                  <c:v>76.437142857142987</c:v>
                </c:pt>
                <c:pt idx="47">
                  <c:v>76.745714285714413</c:v>
                </c:pt>
                <c:pt idx="48">
                  <c:v>77.05428571428584</c:v>
                </c:pt>
                <c:pt idx="49">
                  <c:v>77.362857142857266</c:v>
                </c:pt>
                <c:pt idx="50">
                  <c:v>77.671428571428692</c:v>
                </c:pt>
                <c:pt idx="51">
                  <c:v>77.980000000000118</c:v>
                </c:pt>
                <c:pt idx="52">
                  <c:v>78.288571428571544</c:v>
                </c:pt>
                <c:pt idx="53">
                  <c:v>78.59714285714297</c:v>
                </c:pt>
                <c:pt idx="54">
                  <c:v>78.905714285714396</c:v>
                </c:pt>
                <c:pt idx="55">
                  <c:v>79.214285714285822</c:v>
                </c:pt>
                <c:pt idx="56">
                  <c:v>79.522857142857248</c:v>
                </c:pt>
                <c:pt idx="57">
                  <c:v>79.831428571428674</c:v>
                </c:pt>
                <c:pt idx="58">
                  <c:v>80.1400000000001</c:v>
                </c:pt>
                <c:pt idx="59">
                  <c:v>80.448571428571526</c:v>
                </c:pt>
                <c:pt idx="60">
                  <c:v>80.757142857142952</c:v>
                </c:pt>
                <c:pt idx="61">
                  <c:v>81.065714285714378</c:v>
                </c:pt>
                <c:pt idx="62">
                  <c:v>81.374285714285804</c:v>
                </c:pt>
                <c:pt idx="63">
                  <c:v>81.68285714285723</c:v>
                </c:pt>
                <c:pt idx="64">
                  <c:v>81.991428571428656</c:v>
                </c:pt>
                <c:pt idx="65">
                  <c:v>82.300000000000082</c:v>
                </c:pt>
                <c:pt idx="66">
                  <c:v>82.608571428571508</c:v>
                </c:pt>
                <c:pt idx="67">
                  <c:v>82.917142857142935</c:v>
                </c:pt>
                <c:pt idx="68">
                  <c:v>83.225714285714361</c:v>
                </c:pt>
                <c:pt idx="69">
                  <c:v>83.534285714285787</c:v>
                </c:pt>
                <c:pt idx="70">
                  <c:v>83.842857142857213</c:v>
                </c:pt>
                <c:pt idx="71">
                  <c:v>84.151428571428639</c:v>
                </c:pt>
                <c:pt idx="72">
                  <c:v>84.460000000000065</c:v>
                </c:pt>
                <c:pt idx="73">
                  <c:v>84.768571428571491</c:v>
                </c:pt>
                <c:pt idx="74">
                  <c:v>85.077142857142917</c:v>
                </c:pt>
                <c:pt idx="75">
                  <c:v>85.385714285714343</c:v>
                </c:pt>
                <c:pt idx="76">
                  <c:v>85.694285714285769</c:v>
                </c:pt>
                <c:pt idx="77">
                  <c:v>86.002857142857195</c:v>
                </c:pt>
                <c:pt idx="78">
                  <c:v>86.311428571428621</c:v>
                </c:pt>
                <c:pt idx="79">
                  <c:v>86.620000000000047</c:v>
                </c:pt>
                <c:pt idx="80">
                  <c:v>86.928571428571473</c:v>
                </c:pt>
                <c:pt idx="81">
                  <c:v>87.237142857142899</c:v>
                </c:pt>
                <c:pt idx="82">
                  <c:v>87.545714285714325</c:v>
                </c:pt>
                <c:pt idx="83">
                  <c:v>87.854285714285751</c:v>
                </c:pt>
                <c:pt idx="84">
                  <c:v>88.162857142857177</c:v>
                </c:pt>
                <c:pt idx="85">
                  <c:v>88.471428571428604</c:v>
                </c:pt>
                <c:pt idx="86">
                  <c:v>88.78000000000003</c:v>
                </c:pt>
                <c:pt idx="87">
                  <c:v>89.088571428571456</c:v>
                </c:pt>
                <c:pt idx="88">
                  <c:v>89.397142857142882</c:v>
                </c:pt>
                <c:pt idx="89">
                  <c:v>89.705714285714308</c:v>
                </c:pt>
                <c:pt idx="90">
                  <c:v>90.014285714285734</c:v>
                </c:pt>
                <c:pt idx="91">
                  <c:v>90.32285714285716</c:v>
                </c:pt>
                <c:pt idx="92">
                  <c:v>90.631428571428586</c:v>
                </c:pt>
                <c:pt idx="93">
                  <c:v>90.940000000000012</c:v>
                </c:pt>
                <c:pt idx="94">
                  <c:v>91.248571428571438</c:v>
                </c:pt>
                <c:pt idx="95">
                  <c:v>91.557142857142864</c:v>
                </c:pt>
                <c:pt idx="96">
                  <c:v>91.86571428571429</c:v>
                </c:pt>
                <c:pt idx="97">
                  <c:v>92.174285714285716</c:v>
                </c:pt>
                <c:pt idx="98">
                  <c:v>92.482857142857142</c:v>
                </c:pt>
                <c:pt idx="99">
                  <c:v>92.791428571428568</c:v>
                </c:pt>
                <c:pt idx="100">
                  <c:v>93.1</c:v>
                </c:pt>
                <c:pt idx="101">
                  <c:v>93.40857142857142</c:v>
                </c:pt>
                <c:pt idx="102">
                  <c:v>93.717142857142846</c:v>
                </c:pt>
                <c:pt idx="103">
                  <c:v>94.025714285714272</c:v>
                </c:pt>
                <c:pt idx="104">
                  <c:v>94.334285714285699</c:v>
                </c:pt>
                <c:pt idx="105">
                  <c:v>94.642857142857125</c:v>
                </c:pt>
                <c:pt idx="106">
                  <c:v>94.951428571428551</c:v>
                </c:pt>
                <c:pt idx="107">
                  <c:v>95.259999999999977</c:v>
                </c:pt>
                <c:pt idx="108">
                  <c:v>95.568571428571403</c:v>
                </c:pt>
                <c:pt idx="109">
                  <c:v>95.877142857142829</c:v>
                </c:pt>
                <c:pt idx="110">
                  <c:v>96.185714285714255</c:v>
                </c:pt>
                <c:pt idx="111">
                  <c:v>96.494285714285681</c:v>
                </c:pt>
                <c:pt idx="112">
                  <c:v>96.802857142857107</c:v>
                </c:pt>
                <c:pt idx="113">
                  <c:v>97.111428571428533</c:v>
                </c:pt>
                <c:pt idx="114">
                  <c:v>97.419999999999959</c:v>
                </c:pt>
                <c:pt idx="115">
                  <c:v>97.728571428571385</c:v>
                </c:pt>
                <c:pt idx="116">
                  <c:v>98.037142857142811</c:v>
                </c:pt>
                <c:pt idx="117">
                  <c:v>98.345714285714237</c:v>
                </c:pt>
                <c:pt idx="118">
                  <c:v>98.654285714285663</c:v>
                </c:pt>
                <c:pt idx="119">
                  <c:v>98.962857142857089</c:v>
                </c:pt>
                <c:pt idx="120">
                  <c:v>99.271428571428515</c:v>
                </c:pt>
                <c:pt idx="121">
                  <c:v>99.579999999999941</c:v>
                </c:pt>
                <c:pt idx="122">
                  <c:v>99.888571428571368</c:v>
                </c:pt>
                <c:pt idx="123">
                  <c:v>100.19714285714279</c:v>
                </c:pt>
                <c:pt idx="124">
                  <c:v>100.50571428571422</c:v>
                </c:pt>
                <c:pt idx="125">
                  <c:v>100.81428571428565</c:v>
                </c:pt>
                <c:pt idx="126">
                  <c:v>101.12285714285707</c:v>
                </c:pt>
                <c:pt idx="127">
                  <c:v>101.4314285714285</c:v>
                </c:pt>
                <c:pt idx="128">
                  <c:v>101.73999999999992</c:v>
                </c:pt>
                <c:pt idx="129">
                  <c:v>102.04857142857135</c:v>
                </c:pt>
                <c:pt idx="130">
                  <c:v>102.35714285714278</c:v>
                </c:pt>
                <c:pt idx="131">
                  <c:v>102.6657142857142</c:v>
                </c:pt>
                <c:pt idx="132">
                  <c:v>102.97428571428563</c:v>
                </c:pt>
                <c:pt idx="133">
                  <c:v>103.28285714285705</c:v>
                </c:pt>
                <c:pt idx="134">
                  <c:v>103.59142857142848</c:v>
                </c:pt>
                <c:pt idx="135">
                  <c:v>103.89999999999991</c:v>
                </c:pt>
                <c:pt idx="136">
                  <c:v>104.20857142857133</c:v>
                </c:pt>
                <c:pt idx="137">
                  <c:v>104.51714285714276</c:v>
                </c:pt>
                <c:pt idx="138">
                  <c:v>104.82571428571418</c:v>
                </c:pt>
                <c:pt idx="139">
                  <c:v>105.13428571428561</c:v>
                </c:pt>
                <c:pt idx="140">
                  <c:v>105.44285714285704</c:v>
                </c:pt>
                <c:pt idx="141">
                  <c:v>105.75142857142846</c:v>
                </c:pt>
                <c:pt idx="142">
                  <c:v>106.05999999999989</c:v>
                </c:pt>
                <c:pt idx="143">
                  <c:v>106.36857142857131</c:v>
                </c:pt>
                <c:pt idx="144">
                  <c:v>106.67714285714274</c:v>
                </c:pt>
                <c:pt idx="145">
                  <c:v>106.98571428571417</c:v>
                </c:pt>
                <c:pt idx="146">
                  <c:v>107.29428571428559</c:v>
                </c:pt>
                <c:pt idx="147">
                  <c:v>107.60285714285702</c:v>
                </c:pt>
                <c:pt idx="148">
                  <c:v>107.91142857142844</c:v>
                </c:pt>
                <c:pt idx="149">
                  <c:v>108.21999999999987</c:v>
                </c:pt>
                <c:pt idx="150">
                  <c:v>108.5285714285713</c:v>
                </c:pt>
                <c:pt idx="151">
                  <c:v>108.83714285714272</c:v>
                </c:pt>
                <c:pt idx="152">
                  <c:v>109.14571428571415</c:v>
                </c:pt>
                <c:pt idx="153">
                  <c:v>109.45428571428558</c:v>
                </c:pt>
                <c:pt idx="154">
                  <c:v>109.762857142857</c:v>
                </c:pt>
                <c:pt idx="155">
                  <c:v>110.07142857142843</c:v>
                </c:pt>
                <c:pt idx="156">
                  <c:v>110.37999999999985</c:v>
                </c:pt>
                <c:pt idx="157">
                  <c:v>110.68857142857128</c:v>
                </c:pt>
                <c:pt idx="158">
                  <c:v>110.99714285714271</c:v>
                </c:pt>
                <c:pt idx="159">
                  <c:v>111.30571428571413</c:v>
                </c:pt>
                <c:pt idx="160">
                  <c:v>111.61428571428556</c:v>
                </c:pt>
                <c:pt idx="161">
                  <c:v>111.92285714285698</c:v>
                </c:pt>
                <c:pt idx="162">
                  <c:v>112.23142857142841</c:v>
                </c:pt>
                <c:pt idx="163">
                  <c:v>112.53999999999984</c:v>
                </c:pt>
                <c:pt idx="164">
                  <c:v>112.84857142857126</c:v>
                </c:pt>
                <c:pt idx="165">
                  <c:v>113.15714285714269</c:v>
                </c:pt>
                <c:pt idx="166">
                  <c:v>113.46571428571411</c:v>
                </c:pt>
                <c:pt idx="167">
                  <c:v>113.77428571428554</c:v>
                </c:pt>
                <c:pt idx="168">
                  <c:v>114.08285714285697</c:v>
                </c:pt>
                <c:pt idx="169">
                  <c:v>114.39142857142839</c:v>
                </c:pt>
                <c:pt idx="170">
                  <c:v>114.69999999999982</c:v>
                </c:pt>
                <c:pt idx="171">
                  <c:v>115.00857142857124</c:v>
                </c:pt>
                <c:pt idx="172">
                  <c:v>115.31714285714267</c:v>
                </c:pt>
                <c:pt idx="173">
                  <c:v>115.6257142857141</c:v>
                </c:pt>
                <c:pt idx="174">
                  <c:v>115.93428571428552</c:v>
                </c:pt>
                <c:pt idx="175">
                  <c:v>116.24285714285695</c:v>
                </c:pt>
                <c:pt idx="176">
                  <c:v>116.55142857142837</c:v>
                </c:pt>
                <c:pt idx="177">
                  <c:v>116.8599999999998</c:v>
                </c:pt>
                <c:pt idx="178">
                  <c:v>117.16857142857123</c:v>
                </c:pt>
                <c:pt idx="179">
                  <c:v>117.47714285714265</c:v>
                </c:pt>
                <c:pt idx="180">
                  <c:v>117.78571428571408</c:v>
                </c:pt>
                <c:pt idx="181">
                  <c:v>118.0942857142855</c:v>
                </c:pt>
                <c:pt idx="182">
                  <c:v>118.40285714285693</c:v>
                </c:pt>
                <c:pt idx="183">
                  <c:v>118.71142857142836</c:v>
                </c:pt>
                <c:pt idx="184">
                  <c:v>119.01999999999978</c:v>
                </c:pt>
                <c:pt idx="185">
                  <c:v>119.32857142857121</c:v>
                </c:pt>
                <c:pt idx="186">
                  <c:v>119.63714285714263</c:v>
                </c:pt>
                <c:pt idx="187">
                  <c:v>119.94571428571406</c:v>
                </c:pt>
                <c:pt idx="188">
                  <c:v>120.25428571428549</c:v>
                </c:pt>
                <c:pt idx="189">
                  <c:v>120.56285714285691</c:v>
                </c:pt>
                <c:pt idx="190">
                  <c:v>120.87142857142834</c:v>
                </c:pt>
                <c:pt idx="191">
                  <c:v>121.17999999999977</c:v>
                </c:pt>
                <c:pt idx="192">
                  <c:v>121.48857142857119</c:v>
                </c:pt>
                <c:pt idx="193">
                  <c:v>121.79714285714262</c:v>
                </c:pt>
                <c:pt idx="194">
                  <c:v>122.10571428571404</c:v>
                </c:pt>
                <c:pt idx="195">
                  <c:v>122.41428571428547</c:v>
                </c:pt>
                <c:pt idx="196">
                  <c:v>122.7228571428569</c:v>
                </c:pt>
                <c:pt idx="197">
                  <c:v>123.03142857142832</c:v>
                </c:pt>
                <c:pt idx="198">
                  <c:v>123.33999999999975</c:v>
                </c:pt>
                <c:pt idx="199">
                  <c:v>123.64857142857117</c:v>
                </c:pt>
                <c:pt idx="200">
                  <c:v>123.9571428571426</c:v>
                </c:pt>
              </c:numCache>
            </c:numRef>
          </c:cat>
          <c:val>
            <c:numRef>
              <c:f>'SPERT® 1921-2025'!$HP$10:$PH$10</c:f>
              <c:numCache>
                <c:formatCode>General</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5.2469260079421542E-2</c:v>
                </c:pt>
                <c:pt idx="98">
                  <c:v>5.2489285806600408E-2</c:v>
                </c:pt>
                <c:pt idx="99">
                  <c:v>5.2422829811446865E-2</c:v>
                </c:pt>
                <c:pt idx="100">
                  <c:v>5.2270220371289269E-2</c:v>
                </c:pt>
                <c:pt idx="101">
                  <c:v>5.2032210291239785E-2</c:v>
                </c:pt>
                <c:pt idx="102">
                  <c:v>5.1709970718423225E-2</c:v>
                </c:pt>
                <c:pt idx="103">
                  <c:v>5.1305081542762282E-2</c:v>
                </c:pt>
                <c:pt idx="104">
                  <c:v>5.0819518494409237E-2</c:v>
                </c:pt>
                <c:pt idx="105">
                  <c:v>5.0255637085260978E-2</c:v>
                </c:pt>
                <c:pt idx="106">
                  <c:v>4.9616153577176345E-2</c:v>
                </c:pt>
                <c:pt idx="107">
                  <c:v>4.8904123192028436E-2</c:v>
                </c:pt>
                <c:pt idx="108">
                  <c:v>4.8122915808113544E-2</c:v>
                </c:pt>
                <c:pt idx="109">
                  <c:v>4.7276189413302687E-2</c:v>
                </c:pt>
                <c:pt idx="110">
                  <c:v>4.6367861607321807E-2</c:v>
                </c:pt>
                <c:pt idx="111">
                  <c:v>4.540207946341257E-2</c:v>
                </c:pt>
                <c:pt idx="112">
                  <c:v>4.438318807315729E-2</c:v>
                </c:pt>
                <c:pt idx="113">
                  <c:v>4.3315698107321922E-2</c:v>
                </c:pt>
                <c:pt idx="114">
                  <c:v>4.2204252730131245E-2</c:v>
                </c:pt>
                <c:pt idx="115">
                  <c:v>4.1053594204461696E-2</c:v>
                </c:pt>
                <c:pt idx="116">
                  <c:v>3.9868530521117281E-2</c:v>
                </c:pt>
                <c:pt idx="117">
                  <c:v>3.8653902376806805E-2</c:v>
                </c:pt>
                <c:pt idx="118">
                  <c:v>3.7414550812896512E-2</c:v>
                </c:pt>
                <c:pt idx="119">
                  <c:v>3.6155285810760121E-2</c:v>
                </c:pt>
                <c:pt idx="120">
                  <c:v>3.4880856119928715E-2</c:v>
                </c:pt>
                <c:pt idx="121">
                  <c:v>3.3595920572642081E-2</c:v>
                </c:pt>
                <c:pt idx="122">
                  <c:v>3.2305021113243418E-2</c:v>
                </c:pt>
                <c:pt idx="123">
                  <c:v>3.1012557743590421E-2</c:v>
                </c:pt>
                <c:pt idx="124">
                  <c:v>2.972276555674707E-2</c:v>
                </c:pt>
                <c:pt idx="125">
                  <c:v>2.8439694001151178E-2</c:v>
                </c:pt>
                <c:pt idx="126">
                  <c:v>2.7167188486702833E-2</c:v>
                </c:pt>
                <c:pt idx="127">
                  <c:v>2.5908874413260823E-2</c:v>
                </c:pt>
                <c:pt idx="128">
                  <c:v>2.466814367132586E-2</c:v>
                </c:pt>
                <c:pt idx="129">
                  <c:v>2.3448143634664045E-2</c:v>
                </c:pt>
                <c:pt idx="130">
                  <c:v>2.2251768635687463E-2</c:v>
                </c:pt>
                <c:pt idx="131">
                  <c:v>2.1081653886927752E-2</c:v>
                </c:pt>
                <c:pt idx="132">
                  <c:v>1.9940171786244524E-2</c:v>
                </c:pt>
                <c:pt idx="133">
                  <c:v>1.8829430519784154E-2</c:v>
                </c:pt>
                <c:pt idx="134">
                  <c:v>1.7751274855386037E-2</c:v>
                </c:pt>
                <c:pt idx="135">
                  <c:v>1.6707289000308163E-2</c:v>
                </c:pt>
                <c:pt idx="136">
                  <c:v>1.5698801380951501E-2</c:v>
                </c:pt>
                <c:pt idx="137">
                  <c:v>1.4726891188791167E-2</c:v>
                </c:pt>
                <c:pt idx="138">
                  <c:v>1.3792396526012033E-2</c:v>
                </c:pt>
                <c:pt idx="139">
                  <c:v>1.2895923976390706E-2</c:v>
                </c:pt>
                <c:pt idx="140">
                  <c:v>1.2037859421715832E-2</c:v>
                </c:pt>
                <c:pt idx="141">
                  <c:v>1.1218379921403206E-2</c:v>
                </c:pt>
                <c:pt idx="142">
                  <c:v>1.0437466472816698E-2</c:v>
                </c:pt>
                <c:pt idx="143">
                  <c:v>9.6949174719916376E-3</c:v>
                </c:pt>
                <c:pt idx="144">
                  <c:v>8.9903626987905445E-3</c:v>
                </c:pt>
                <c:pt idx="145">
                  <c:v>8.3232776567950719E-3</c:v>
                </c:pt>
                <c:pt idx="146">
                  <c:v>7.6929981062300373E-3</c:v>
                </c:pt>
                <c:pt idx="147">
                  <c:v>7.0987346376903378E-3</c:v>
                </c:pt>
                <c:pt idx="148">
                  <c:v>6.5395871451580595E-3</c:v>
                </c:pt>
                <c:pt idx="149">
                  <c:v>6.0145590685111681E-3</c:v>
                </c:pt>
                <c:pt idx="150">
                  <c:v>5.5225712881955529E-3</c:v>
                </c:pt>
                <c:pt idx="151">
                  <c:v>5.0624755677235291E-3</c:v>
                </c:pt>
                <c:pt idx="152">
                  <c:v>4.6330674529493111E-3</c:v>
                </c:pt>
                <c:pt idx="153">
                  <c:v>4.2330985504425217E-3</c:v>
                </c:pt>
                <c:pt idx="154">
                  <c:v>3.8612881205389578E-3</c:v>
                </c:pt>
                <c:pt idx="155">
                  <c:v>3.5163339336141161E-3</c:v>
                </c:pt>
                <c:pt idx="156">
                  <c:v>3.1969223506404985E-3</c:v>
                </c:pt>
                <c:pt idx="157">
                  <c:v>2.9017376010159516E-3</c:v>
                </c:pt>
                <c:pt idx="158">
                  <c:v>2.6294702418695505E-3</c:v>
                </c:pt>
                <c:pt idx="159">
                  <c:v>2.3788247934680164E-3</c:v>
                </c:pt>
                <c:pt idx="160">
                  <c:v>2.148526554884319E-3</c:v>
                </c:pt>
                <c:pt idx="161">
                  <c:v>1.93732761269686E-3</c:v>
                </c:pt>
                <c:pt idx="162">
                  <c:v>1.7440120631276796E-3</c:v>
                </c:pt>
                <c:pt idx="163">
                  <c:v>1.5674004746849769E-3</c:v>
                </c:pt>
                <c:pt idx="164">
                  <c:v>1.4063536240499761E-3</c:v>
                </c:pt>
                <c:pt idx="165">
                  <c:v>1.2597755426561801E-3</c:v>
                </c:pt>
                <c:pt idx="166">
                  <c:v>1.1266159151801754E-3</c:v>
                </c:pt>
                <c:pt idx="167">
                  <c:v>1.0058718740383289E-3</c:v>
                </c:pt>
                <c:pt idx="168">
                  <c:v>8.9658923601396569E-4</c:v>
                </c:pt>
                <c:pt idx="169">
                  <c:v>7.9786322838373022E-4</c:v>
                </c:pt>
                <c:pt idx="170">
                  <c:v>7.0883875243493407E-4</c:v>
                </c:pt>
                <c:pt idx="171">
                  <c:v>6.287102321369969E-4</c:v>
                </c:pt>
                <c:pt idx="172">
                  <c:v>5.5672109502165985E-4</c:v>
                </c:pt>
                <c:pt idx="173">
                  <c:v>4.9216293111184418E-4</c:v>
                </c:pt>
                <c:pt idx="174">
                  <c:v>4.3437437409067831E-4</c:v>
                </c:pt>
                <c:pt idx="175">
                  <c:v>3.8273974689214703E-4</c:v>
                </c:pt>
                <c:pt idx="176">
                  <c:v>3.3668751159199854E-4</c:v>
                </c:pt>
                <c:pt idx="177">
                  <c:v>2.9568856094785799E-4</c:v>
                </c:pt>
                <c:pt idx="178">
                  <c:v>2.5925438624253047E-4</c:v>
                </c:pt>
                <c:pt idx="179">
                  <c:v>2.26935153281225E-4</c:v>
                </c:pt>
                <c:pt idx="180">
                  <c:v>1.9831771553379898E-4</c:v>
                </c:pt>
                <c:pt idx="181">
                  <c:v>1.7302359054360765E-4</c:v>
                </c:pt>
                <c:pt idx="182">
                  <c:v>1.5070692288616838E-4</c:v>
                </c:pt>
                <c:pt idx="183">
                  <c:v>1.3105245418911979E-4</c:v>
                </c:pt>
                <c:pt idx="184">
                  <c:v>1.1377351804989074E-4</c:v>
                </c:pt>
                <c:pt idx="185">
                  <c:v>9.861007513387962E-5</c:v>
                </c:pt>
                <c:pt idx="186">
                  <c:v>8.5326801323543791E-5</c:v>
                </c:pt>
                <c:pt idx="187">
                  <c:v>7.3711239532629869E-5</c:v>
                </c:pt>
                <c:pt idx="188">
                  <c:v>6.3572023710536281E-5</c:v>
                </c:pt>
                <c:pt idx="189">
                  <c:v>5.4737181646207341E-5</c:v>
                </c:pt>
                <c:pt idx="190">
                  <c:v>4.7052521442168798E-5</c:v>
                </c:pt>
                <c:pt idx="191">
                  <c:v>4.0380104967372349E-5</c:v>
                </c:pt>
                <c:pt idx="192">
                  <c:v>3.4596810209729343E-5</c:v>
                </c:pt>
                <c:pt idx="193">
                  <c:v>2.9592983230630012E-5</c:v>
                </c:pt>
                <c:pt idx="194">
                  <c:v>2.5271179367484406E-5</c:v>
                </c:pt>
                <c:pt idx="195">
                  <c:v>2.1544992428013805E-5</c:v>
                </c:pt>
                <c:pt idx="196">
                  <c:v>1.8337969862131877E-5</c:v>
                </c:pt>
                <c:pt idx="197">
                  <c:v>1.5582611273403583E-5</c:v>
                </c:pt>
                <c:pt idx="198">
                  <c:v>1.3219447131343812E-5</c:v>
                </c:pt>
                <c:pt idx="199">
                  <c:v>1.1196194157025461E-5</c:v>
                </c:pt>
                <c:pt idx="200">
                  <c:v>9.4669835663548798E-6</c:v>
                </c:pt>
              </c:numCache>
            </c:numRef>
          </c:val>
          <c:extLst>
            <c:ext xmlns:c16="http://schemas.microsoft.com/office/drawing/2014/chart" uri="{C3380CC4-5D6E-409C-BE32-E72D297353CC}">
              <c16:uniqueId val="{00000002-A1A1-4B74-BA7D-98C94BEDC5F4}"/>
            </c:ext>
          </c:extLst>
        </c:ser>
        <c:dLbls>
          <c:showLegendKey val="0"/>
          <c:showVal val="0"/>
          <c:showCatName val="0"/>
          <c:showSerName val="0"/>
          <c:showPercent val="0"/>
          <c:showBubbleSize val="0"/>
        </c:dLbls>
        <c:gapWidth val="0"/>
        <c:overlap val="100"/>
        <c:axId val="613283808"/>
        <c:axId val="613280200"/>
      </c:barChart>
      <c:lineChart>
        <c:grouping val="standard"/>
        <c:varyColors val="0"/>
        <c:ser>
          <c:idx val="3"/>
          <c:order val="3"/>
          <c:spPr>
            <a:ln w="50800" cap="rnd">
              <a:solidFill>
                <a:schemeClr val="tx1">
                  <a:lumMod val="50000"/>
                  <a:lumOff val="50000"/>
                </a:schemeClr>
              </a:solidFill>
              <a:round/>
            </a:ln>
            <a:effectLst/>
          </c:spPr>
          <c:marker>
            <c:symbol val="none"/>
          </c:marker>
          <c:cat>
            <c:numRef>
              <c:f>'SPERT® 1921-2025'!$W$4:$DS$4</c:f>
              <c:numCache>
                <c:formatCode>#,##0_);\(#,##0\)</c:formatCode>
                <c:ptCount val="101"/>
                <c:pt idx="0">
                  <c:v>62.242857142857389</c:v>
                </c:pt>
                <c:pt idx="1">
                  <c:v>62.551428571428815</c:v>
                </c:pt>
                <c:pt idx="2">
                  <c:v>62.860000000000241</c:v>
                </c:pt>
                <c:pt idx="3">
                  <c:v>63.168571428571667</c:v>
                </c:pt>
                <c:pt idx="4">
                  <c:v>63.477142857143093</c:v>
                </c:pt>
                <c:pt idx="5">
                  <c:v>63.785714285714519</c:v>
                </c:pt>
                <c:pt idx="6">
                  <c:v>64.094285714285945</c:v>
                </c:pt>
                <c:pt idx="7">
                  <c:v>64.402857142857371</c:v>
                </c:pt>
                <c:pt idx="8">
                  <c:v>64.711428571428797</c:v>
                </c:pt>
                <c:pt idx="9">
                  <c:v>65.020000000000223</c:v>
                </c:pt>
                <c:pt idx="10">
                  <c:v>65.328571428571649</c:v>
                </c:pt>
                <c:pt idx="11">
                  <c:v>65.637142857143076</c:v>
                </c:pt>
                <c:pt idx="12">
                  <c:v>65.945714285714502</c:v>
                </c:pt>
                <c:pt idx="13">
                  <c:v>66.254285714285928</c:v>
                </c:pt>
                <c:pt idx="14">
                  <c:v>66.562857142857354</c:v>
                </c:pt>
                <c:pt idx="15">
                  <c:v>66.87142857142878</c:v>
                </c:pt>
                <c:pt idx="16">
                  <c:v>67.180000000000206</c:v>
                </c:pt>
                <c:pt idx="17">
                  <c:v>67.488571428571632</c:v>
                </c:pt>
                <c:pt idx="18">
                  <c:v>67.797142857143058</c:v>
                </c:pt>
                <c:pt idx="19">
                  <c:v>68.105714285714484</c:v>
                </c:pt>
                <c:pt idx="20">
                  <c:v>68.41428571428591</c:v>
                </c:pt>
                <c:pt idx="21">
                  <c:v>68.722857142857336</c:v>
                </c:pt>
                <c:pt idx="22">
                  <c:v>69.031428571428762</c:v>
                </c:pt>
                <c:pt idx="23">
                  <c:v>69.340000000000188</c:v>
                </c:pt>
                <c:pt idx="24">
                  <c:v>69.648571428571614</c:v>
                </c:pt>
                <c:pt idx="25">
                  <c:v>69.95714285714304</c:v>
                </c:pt>
                <c:pt idx="26">
                  <c:v>70.265714285714466</c:v>
                </c:pt>
                <c:pt idx="27">
                  <c:v>70.574285714285892</c:v>
                </c:pt>
                <c:pt idx="28">
                  <c:v>70.882857142857318</c:v>
                </c:pt>
                <c:pt idx="29">
                  <c:v>71.191428571428744</c:v>
                </c:pt>
                <c:pt idx="30">
                  <c:v>71.500000000000171</c:v>
                </c:pt>
                <c:pt idx="31">
                  <c:v>71.808571428571597</c:v>
                </c:pt>
                <c:pt idx="32">
                  <c:v>72.117142857143023</c:v>
                </c:pt>
                <c:pt idx="33">
                  <c:v>72.425714285714449</c:v>
                </c:pt>
                <c:pt idx="34">
                  <c:v>72.734285714285875</c:v>
                </c:pt>
                <c:pt idx="35">
                  <c:v>73.042857142857301</c:v>
                </c:pt>
                <c:pt idx="36">
                  <c:v>73.351428571428727</c:v>
                </c:pt>
                <c:pt idx="37">
                  <c:v>73.660000000000153</c:v>
                </c:pt>
                <c:pt idx="38">
                  <c:v>73.968571428571579</c:v>
                </c:pt>
                <c:pt idx="39">
                  <c:v>74.277142857143005</c:v>
                </c:pt>
                <c:pt idx="40">
                  <c:v>74.585714285714431</c:v>
                </c:pt>
                <c:pt idx="41">
                  <c:v>74.894285714285857</c:v>
                </c:pt>
                <c:pt idx="42">
                  <c:v>75.202857142857283</c:v>
                </c:pt>
                <c:pt idx="43">
                  <c:v>75.511428571428709</c:v>
                </c:pt>
                <c:pt idx="44">
                  <c:v>75.820000000000135</c:v>
                </c:pt>
                <c:pt idx="45">
                  <c:v>76.128571428571561</c:v>
                </c:pt>
                <c:pt idx="46">
                  <c:v>76.437142857142987</c:v>
                </c:pt>
                <c:pt idx="47">
                  <c:v>76.745714285714413</c:v>
                </c:pt>
                <c:pt idx="48">
                  <c:v>77.05428571428584</c:v>
                </c:pt>
                <c:pt idx="49">
                  <c:v>77.362857142857266</c:v>
                </c:pt>
                <c:pt idx="50">
                  <c:v>77.671428571428692</c:v>
                </c:pt>
                <c:pt idx="51">
                  <c:v>77.980000000000118</c:v>
                </c:pt>
                <c:pt idx="52">
                  <c:v>78.288571428571544</c:v>
                </c:pt>
                <c:pt idx="53">
                  <c:v>78.59714285714297</c:v>
                </c:pt>
                <c:pt idx="54">
                  <c:v>78.905714285714396</c:v>
                </c:pt>
                <c:pt idx="55">
                  <c:v>79.214285714285822</c:v>
                </c:pt>
                <c:pt idx="56">
                  <c:v>79.522857142857248</c:v>
                </c:pt>
                <c:pt idx="57">
                  <c:v>79.831428571428674</c:v>
                </c:pt>
                <c:pt idx="58">
                  <c:v>80.1400000000001</c:v>
                </c:pt>
                <c:pt idx="59">
                  <c:v>80.448571428571526</c:v>
                </c:pt>
                <c:pt idx="60">
                  <c:v>80.757142857142952</c:v>
                </c:pt>
                <c:pt idx="61">
                  <c:v>81.065714285714378</c:v>
                </c:pt>
                <c:pt idx="62">
                  <c:v>81.374285714285804</c:v>
                </c:pt>
                <c:pt idx="63">
                  <c:v>81.68285714285723</c:v>
                </c:pt>
                <c:pt idx="64">
                  <c:v>81.991428571428656</c:v>
                </c:pt>
                <c:pt idx="65">
                  <c:v>82.300000000000082</c:v>
                </c:pt>
                <c:pt idx="66">
                  <c:v>82.608571428571508</c:v>
                </c:pt>
                <c:pt idx="67">
                  <c:v>82.917142857142935</c:v>
                </c:pt>
                <c:pt idx="68">
                  <c:v>83.225714285714361</c:v>
                </c:pt>
                <c:pt idx="69">
                  <c:v>83.534285714285787</c:v>
                </c:pt>
                <c:pt idx="70">
                  <c:v>83.842857142857213</c:v>
                </c:pt>
                <c:pt idx="71">
                  <c:v>84.151428571428639</c:v>
                </c:pt>
                <c:pt idx="72">
                  <c:v>84.460000000000065</c:v>
                </c:pt>
                <c:pt idx="73">
                  <c:v>84.768571428571491</c:v>
                </c:pt>
                <c:pt idx="74">
                  <c:v>85.077142857142917</c:v>
                </c:pt>
                <c:pt idx="75">
                  <c:v>85.385714285714343</c:v>
                </c:pt>
                <c:pt idx="76">
                  <c:v>85.694285714285769</c:v>
                </c:pt>
                <c:pt idx="77">
                  <c:v>86.002857142857195</c:v>
                </c:pt>
                <c:pt idx="78">
                  <c:v>86.311428571428621</c:v>
                </c:pt>
                <c:pt idx="79">
                  <c:v>86.620000000000047</c:v>
                </c:pt>
                <c:pt idx="80">
                  <c:v>86.928571428571473</c:v>
                </c:pt>
                <c:pt idx="81">
                  <c:v>87.237142857142899</c:v>
                </c:pt>
                <c:pt idx="82">
                  <c:v>87.545714285714325</c:v>
                </c:pt>
                <c:pt idx="83">
                  <c:v>87.854285714285751</c:v>
                </c:pt>
                <c:pt idx="84">
                  <c:v>88.162857142857177</c:v>
                </c:pt>
                <c:pt idx="85">
                  <c:v>88.471428571428604</c:v>
                </c:pt>
                <c:pt idx="86">
                  <c:v>88.78000000000003</c:v>
                </c:pt>
                <c:pt idx="87">
                  <c:v>89.088571428571456</c:v>
                </c:pt>
                <c:pt idx="88">
                  <c:v>89.397142857142882</c:v>
                </c:pt>
                <c:pt idx="89">
                  <c:v>89.705714285714308</c:v>
                </c:pt>
                <c:pt idx="90">
                  <c:v>90.014285714285734</c:v>
                </c:pt>
                <c:pt idx="91">
                  <c:v>90.32285714285716</c:v>
                </c:pt>
                <c:pt idx="92">
                  <c:v>90.631428571428586</c:v>
                </c:pt>
                <c:pt idx="93">
                  <c:v>90.940000000000012</c:v>
                </c:pt>
                <c:pt idx="94">
                  <c:v>91.248571428571438</c:v>
                </c:pt>
                <c:pt idx="95">
                  <c:v>91.557142857142864</c:v>
                </c:pt>
                <c:pt idx="96">
                  <c:v>91.86571428571429</c:v>
                </c:pt>
                <c:pt idx="97">
                  <c:v>92.174285714285716</c:v>
                </c:pt>
                <c:pt idx="98">
                  <c:v>92.482857142857142</c:v>
                </c:pt>
                <c:pt idx="99">
                  <c:v>92.791428571428568</c:v>
                </c:pt>
                <c:pt idx="100">
                  <c:v>93.1</c:v>
                </c:pt>
              </c:numCache>
            </c:numRef>
          </c:cat>
          <c:val>
            <c:numRef>
              <c:f>'SPERT® 1921-2025'!$HP$11:$PH$11</c:f>
              <c:numCache>
                <c:formatCode>General</c:formatCode>
                <c:ptCount val="201"/>
                <c:pt idx="0">
                  <c:v>2.0000009907544015E-5</c:v>
                </c:pt>
                <c:pt idx="1">
                  <c:v>2.3476903931326837E-5</c:v>
                </c:pt>
                <c:pt idx="2">
                  <c:v>2.7512845421374587E-5</c:v>
                </c:pt>
                <c:pt idx="3">
                  <c:v>3.2189502662828577E-5</c:v>
                </c:pt>
                <c:pt idx="4">
                  <c:v>3.7599069634528677E-5</c:v>
                </c:pt>
                <c:pt idx="5">
                  <c:v>4.3845396719074988E-5</c:v>
                </c:pt>
                <c:pt idx="6">
                  <c:v>5.1045208557999907E-5</c:v>
                </c:pt>
                <c:pt idx="7">
                  <c:v>5.9329410676536208E-5</c:v>
                </c:pt>
                <c:pt idx="8">
                  <c:v>6.8844485668262829E-5</c:v>
                </c:pt>
                <c:pt idx="9">
                  <c:v>7.9753978746045277E-5</c:v>
                </c:pt>
                <c:pt idx="10">
                  <c:v>9.2240071323206602E-5</c:v>
                </c:pt>
                <c:pt idx="11">
                  <c:v>1.065052399801522E-4</c:v>
                </c:pt>
                <c:pt idx="12">
                  <c:v>1.2277399669084158E-4</c:v>
                </c:pt>
                <c:pt idx="13">
                  <c:v>1.4129470452675329E-4</c:v>
                </c:pt>
                <c:pt idx="14">
                  <c:v>1.6234146122205256E-4</c:v>
                </c:pt>
                <c:pt idx="15">
                  <c:v>1.8621604097422158E-4</c:v>
                </c:pt>
                <c:pt idx="16">
                  <c:v>2.132498826744421E-4</c:v>
                </c:pt>
                <c:pt idx="17">
                  <c:v>2.438061104203503E-4</c:v>
                </c:pt>
                <c:pt idx="18">
                  <c:v>2.7828156967339284E-4</c:v>
                </c:pt>
                <c:pt idx="19">
                  <c:v>3.1710885980139238E-4</c:v>
                </c:pt>
                <c:pt idx="20">
                  <c:v>3.6075834101656251E-4</c:v>
                </c:pt>
                <c:pt idx="21">
                  <c:v>4.0974009090758692E-4</c:v>
                </c:pt>
                <c:pt idx="22">
                  <c:v>4.6460578290454153E-4</c:v>
                </c:pt>
                <c:pt idx="23">
                  <c:v>5.2595045614576739E-4</c:v>
                </c:pt>
                <c:pt idx="24">
                  <c:v>5.9441414338031004E-4</c:v>
                </c:pt>
                <c:pt idx="25">
                  <c:v>6.7068332078768563E-4</c:v>
                </c:pt>
                <c:pt idx="26">
                  <c:v>7.554921409831135E-4</c:v>
                </c:pt>
                <c:pt idx="27">
                  <c:v>8.4962340806056232E-4</c:v>
                </c:pt>
                <c:pt idx="28">
                  <c:v>9.5390925137197441E-4</c:v>
                </c:pt>
                <c:pt idx="29">
                  <c:v>1.0692314529164176E-3</c:v>
                </c:pt>
                <c:pt idx="30">
                  <c:v>1.196521381788374E-3</c:v>
                </c:pt>
                <c:pt idx="31">
                  <c:v>1.336759488182405E-3</c:v>
                </c:pt>
                <c:pt idx="32">
                  <c:v>1.4909743090452821E-3</c:v>
                </c:pt>
                <c:pt idx="33">
                  <c:v>1.6602409376791593E-3</c:v>
                </c:pt>
                <c:pt idx="34">
                  <c:v>1.84567891050134E-3</c:v>
                </c:pt>
                <c:pt idx="35">
                  <c:v>2.0484494658247229E-3</c:v>
                </c:pt>
                <c:pt idx="36">
                  <c:v>2.269752132000188E-3</c:v>
                </c:pt>
                <c:pt idx="37">
                  <c:v>2.5108206056126993E-3</c:v>
                </c:pt>
                <c:pt idx="38">
                  <c:v>2.7729178846928708E-3</c:v>
                </c:pt>
                <c:pt idx="39">
                  <c:v>3.057330627129976E-3</c:v>
                </c:pt>
                <c:pt idx="40">
                  <c:v>3.3653627106735142E-3</c:v>
                </c:pt>
                <c:pt idx="41">
                  <c:v>3.6983279780963712E-3</c:v>
                </c:pt>
                <c:pt idx="42">
                  <c:v>4.0575421592548688E-3</c:v>
                </c:pt>
                <c:pt idx="43">
                  <c:v>4.4443139708937648E-3</c:v>
                </c:pt>
                <c:pt idx="44">
                  <c:v>4.8599354050624733E-3</c:v>
                </c:pt>
                <c:pt idx="45">
                  <c:v>5.3056712278669515E-3</c:v>
                </c:pt>
                <c:pt idx="46">
                  <c:v>5.7827477218938819E-3</c:v>
                </c:pt>
                <c:pt idx="47">
                  <c:v>6.2923407179025581E-3</c:v>
                </c:pt>
                <c:pt idx="48">
                  <c:v>6.8355629741559641E-3</c:v>
                </c:pt>
                <c:pt idx="49">
                  <c:v>7.4134509749066175E-3</c:v>
                </c:pt>
                <c:pt idx="50">
                  <c:v>8.0269512328946732E-3</c:v>
                </c:pt>
                <c:pt idx="51">
                  <c:v>8.6769061940672777E-3</c:v>
                </c:pt>
                <c:pt idx="52">
                  <c:v>9.3640398558835925E-3</c:v>
                </c:pt>
                <c:pt idx="53">
                  <c:v>1.0088943223310453E-2</c:v>
                </c:pt>
                <c:pt idx="54">
                  <c:v>1.0852059738707428E-2</c:v>
                </c:pt>
                <c:pt idx="55">
                  <c:v>1.1653670833008625E-2</c:v>
                </c:pt>
                <c:pt idx="56">
                  <c:v>1.2493881755688763E-2</c:v>
                </c:pt>
                <c:pt idx="57">
                  <c:v>1.337260784970907E-2</c:v>
                </c:pt>
                <c:pt idx="58">
                  <c:v>1.4289561444736636E-2</c:v>
                </c:pt>
                <c:pt idx="59">
                  <c:v>1.5244239547189379E-2</c:v>
                </c:pt>
                <c:pt idx="60">
                  <c:v>1.6235912508862894E-2</c:v>
                </c:pt>
                <c:pt idx="61">
                  <c:v>1.7263613856850681E-2</c:v>
                </c:pt>
                <c:pt idx="62">
                  <c:v>1.8326131466004258E-2</c:v>
                </c:pt>
                <c:pt idx="63">
                  <c:v>1.9422000251153357E-2</c:v>
                </c:pt>
                <c:pt idx="64">
                  <c:v>2.0549496549612318E-2</c:v>
                </c:pt>
                <c:pt idx="65">
                  <c:v>2.1706634355067065E-2</c:v>
                </c:pt>
                <c:pt idx="66">
                  <c:v>2.2891163551741724E-2</c:v>
                </c:pt>
                <c:pt idx="67">
                  <c:v>2.4100570282803404E-2</c:v>
                </c:pt>
                <c:pt idx="68">
                  <c:v>2.5332079569342848E-2</c:v>
                </c:pt>
                <c:pt idx="69">
                  <c:v>2.6582660276084445E-2</c:v>
                </c:pt>
                <c:pt idx="70">
                  <c:v>2.7849032497394691E-2</c:v>
                </c:pt>
                <c:pt idx="71">
                  <c:v>2.9127677412388572E-2</c:v>
                </c:pt>
                <c:pt idx="72">
                  <c:v>3.0414849631242042E-2</c:v>
                </c:pt>
                <c:pt idx="73">
                  <c:v>3.1706592026511896E-2</c:v>
                </c:pt>
                <c:pt idx="74">
                  <c:v>3.2998753013695321E-2</c:v>
                </c:pt>
                <c:pt idx="75">
                  <c:v>3.4287006214816736E-2</c:v>
                </c:pt>
                <c:pt idx="76">
                  <c:v>3.5566872407931334E-2</c:v>
                </c:pt>
                <c:pt idx="77">
                  <c:v>3.6833743634530972E-2</c:v>
                </c:pt>
                <c:pt idx="78">
                  <c:v>3.8082909306393686E-2</c:v>
                </c:pt>
                <c:pt idx="79">
                  <c:v>3.9309584123912687E-2</c:v>
                </c:pt>
                <c:pt idx="80">
                  <c:v>4.0508937589853154E-2</c:v>
                </c:pt>
                <c:pt idx="81">
                  <c:v>4.1676124876292152E-2</c:v>
                </c:pt>
                <c:pt idx="82">
                  <c:v>4.2806318778656406E-2</c:v>
                </c:pt>
                <c:pt idx="83">
                  <c:v>4.3894742469723275E-2</c:v>
                </c:pt>
                <c:pt idx="84">
                  <c:v>4.4936702748593266E-2</c:v>
                </c:pt>
                <c:pt idx="85">
                  <c:v>4.5927623465342765E-2</c:v>
                </c:pt>
                <c:pt idx="86">
                  <c:v>4.6863078791635607E-2</c:v>
                </c:pt>
                <c:pt idx="87">
                  <c:v>4.7738826001270496E-2</c:v>
                </c:pt>
                <c:pt idx="88">
                  <c:v>4.8550837422663334E-2</c:v>
                </c:pt>
                <c:pt idx="89">
                  <c:v>4.929533122773825E-2</c:v>
                </c:pt>
                <c:pt idx="90">
                  <c:v>4.9968800728685203E-2</c:v>
                </c:pt>
                <c:pt idx="91">
                  <c:v>5.0568041865519421E-2</c:v>
                </c:pt>
                <c:pt idx="92">
                  <c:v>5.1090178583257422E-2</c:v>
                </c:pt>
                <c:pt idx="93">
                  <c:v>5.1532685817640346E-2</c:v>
                </c:pt>
                <c:pt idx="94">
                  <c:v>5.1893409832448098E-2</c:v>
                </c:pt>
                <c:pt idx="95">
                  <c:v>5.2170585679251966E-2</c:v>
                </c:pt>
                <c:pt idx="96">
                  <c:v>5.2362851581573083E-2</c:v>
                </c:pt>
                <c:pt idx="97">
                  <c:v>5.2469260079421542E-2</c:v>
                </c:pt>
                <c:pt idx="98">
                  <c:v>5.2489285806600408E-2</c:v>
                </c:pt>
                <c:pt idx="99">
                  <c:v>5.2422829811446865E-2</c:v>
                </c:pt>
                <c:pt idx="100">
                  <c:v>5.2270220371289269E-2</c:v>
                </c:pt>
                <c:pt idx="101">
                  <c:v>5.2032210291239785E-2</c:v>
                </c:pt>
                <c:pt idx="102">
                  <c:v>5.1709970718423225E-2</c:v>
                </c:pt>
                <c:pt idx="103">
                  <c:v>5.1305081542762282E-2</c:v>
                </c:pt>
                <c:pt idx="104">
                  <c:v>5.0819518494409237E-2</c:v>
                </c:pt>
                <c:pt idx="105">
                  <c:v>5.0255637085260978E-2</c:v>
                </c:pt>
                <c:pt idx="106">
                  <c:v>4.9616153577176345E-2</c:v>
                </c:pt>
                <c:pt idx="107">
                  <c:v>4.8904123192028436E-2</c:v>
                </c:pt>
                <c:pt idx="108">
                  <c:v>4.8122915808113544E-2</c:v>
                </c:pt>
                <c:pt idx="109">
                  <c:v>4.7276189413302687E-2</c:v>
                </c:pt>
                <c:pt idx="110">
                  <c:v>4.6367861607321807E-2</c:v>
                </c:pt>
                <c:pt idx="111">
                  <c:v>4.540207946341257E-2</c:v>
                </c:pt>
                <c:pt idx="112">
                  <c:v>4.438318807315729E-2</c:v>
                </c:pt>
                <c:pt idx="113">
                  <c:v>4.3315698107321922E-2</c:v>
                </c:pt>
                <c:pt idx="114">
                  <c:v>4.2204252730131245E-2</c:v>
                </c:pt>
                <c:pt idx="115">
                  <c:v>4.1053594204461696E-2</c:v>
                </c:pt>
                <c:pt idx="116">
                  <c:v>3.9868530521117281E-2</c:v>
                </c:pt>
                <c:pt idx="117">
                  <c:v>3.8653902376806805E-2</c:v>
                </c:pt>
                <c:pt idx="118">
                  <c:v>3.7414550812896512E-2</c:v>
                </c:pt>
                <c:pt idx="119">
                  <c:v>3.6155285810760121E-2</c:v>
                </c:pt>
                <c:pt idx="120">
                  <c:v>3.4880856119928715E-2</c:v>
                </c:pt>
                <c:pt idx="121">
                  <c:v>3.3595920572642081E-2</c:v>
                </c:pt>
                <c:pt idx="122">
                  <c:v>3.2305021113243418E-2</c:v>
                </c:pt>
                <c:pt idx="123">
                  <c:v>3.1012557743590421E-2</c:v>
                </c:pt>
                <c:pt idx="124">
                  <c:v>2.972276555674707E-2</c:v>
                </c:pt>
                <c:pt idx="125">
                  <c:v>2.8439694001151178E-2</c:v>
                </c:pt>
                <c:pt idx="126">
                  <c:v>2.7167188486702833E-2</c:v>
                </c:pt>
                <c:pt idx="127">
                  <c:v>2.5908874413260823E-2</c:v>
                </c:pt>
                <c:pt idx="128">
                  <c:v>2.466814367132586E-2</c:v>
                </c:pt>
                <c:pt idx="129">
                  <c:v>2.3448143634664045E-2</c:v>
                </c:pt>
                <c:pt idx="130">
                  <c:v>2.2251768635687463E-2</c:v>
                </c:pt>
                <c:pt idx="131">
                  <c:v>2.1081653886927752E-2</c:v>
                </c:pt>
                <c:pt idx="132">
                  <c:v>1.9940171786244524E-2</c:v>
                </c:pt>
                <c:pt idx="133">
                  <c:v>1.8829430519784154E-2</c:v>
                </c:pt>
                <c:pt idx="134">
                  <c:v>1.7751274855386037E-2</c:v>
                </c:pt>
                <c:pt idx="135">
                  <c:v>1.6707289000308163E-2</c:v>
                </c:pt>
                <c:pt idx="136">
                  <c:v>1.5698801380951501E-2</c:v>
                </c:pt>
                <c:pt idx="137">
                  <c:v>1.4726891188791167E-2</c:v>
                </c:pt>
                <c:pt idx="138">
                  <c:v>1.3792396526012033E-2</c:v>
                </c:pt>
                <c:pt idx="139">
                  <c:v>1.2895923976390706E-2</c:v>
                </c:pt>
                <c:pt idx="140">
                  <c:v>1.2037859421715832E-2</c:v>
                </c:pt>
                <c:pt idx="141">
                  <c:v>1.1218379921403206E-2</c:v>
                </c:pt>
                <c:pt idx="142">
                  <c:v>1.0437466472816698E-2</c:v>
                </c:pt>
                <c:pt idx="143">
                  <c:v>9.6949174719916376E-3</c:v>
                </c:pt>
                <c:pt idx="144">
                  <c:v>8.9903626987905445E-3</c:v>
                </c:pt>
                <c:pt idx="145">
                  <c:v>8.3232776567950719E-3</c:v>
                </c:pt>
                <c:pt idx="146">
                  <c:v>7.6929981062300373E-3</c:v>
                </c:pt>
                <c:pt idx="147">
                  <c:v>7.0987346376903378E-3</c:v>
                </c:pt>
                <c:pt idx="148">
                  <c:v>6.5395871451580595E-3</c:v>
                </c:pt>
                <c:pt idx="149">
                  <c:v>6.0145590685111681E-3</c:v>
                </c:pt>
                <c:pt idx="150">
                  <c:v>5.5225712881955529E-3</c:v>
                </c:pt>
                <c:pt idx="151">
                  <c:v>5.0624755677235291E-3</c:v>
                </c:pt>
                <c:pt idx="152">
                  <c:v>4.6330674529493111E-3</c:v>
                </c:pt>
                <c:pt idx="153">
                  <c:v>4.2330985504425217E-3</c:v>
                </c:pt>
                <c:pt idx="154">
                  <c:v>3.8612881205389578E-3</c:v>
                </c:pt>
                <c:pt idx="155">
                  <c:v>3.5163339336141161E-3</c:v>
                </c:pt>
                <c:pt idx="156">
                  <c:v>3.1969223506404985E-3</c:v>
                </c:pt>
                <c:pt idx="157">
                  <c:v>2.9017376010159516E-3</c:v>
                </c:pt>
                <c:pt idx="158">
                  <c:v>2.6294702418695505E-3</c:v>
                </c:pt>
                <c:pt idx="159">
                  <c:v>2.3788247934680164E-3</c:v>
                </c:pt>
                <c:pt idx="160">
                  <c:v>2.148526554884319E-3</c:v>
                </c:pt>
                <c:pt idx="161">
                  <c:v>1.93732761269686E-3</c:v>
                </c:pt>
                <c:pt idx="162">
                  <c:v>1.7440120631276796E-3</c:v>
                </c:pt>
                <c:pt idx="163">
                  <c:v>1.5674004746849769E-3</c:v>
                </c:pt>
                <c:pt idx="164">
                  <c:v>1.4063536240499761E-3</c:v>
                </c:pt>
                <c:pt idx="165">
                  <c:v>1.2597755426561801E-3</c:v>
                </c:pt>
                <c:pt idx="166">
                  <c:v>1.1266159151801754E-3</c:v>
                </c:pt>
                <c:pt idx="167">
                  <c:v>1.0058718740383289E-3</c:v>
                </c:pt>
                <c:pt idx="168">
                  <c:v>8.9658923601396569E-4</c:v>
                </c:pt>
                <c:pt idx="169">
                  <c:v>7.9786322838373022E-4</c:v>
                </c:pt>
                <c:pt idx="170">
                  <c:v>7.0883875243493407E-4</c:v>
                </c:pt>
                <c:pt idx="171">
                  <c:v>6.287102321369969E-4</c:v>
                </c:pt>
                <c:pt idx="172">
                  <c:v>5.5672109502165985E-4</c:v>
                </c:pt>
                <c:pt idx="173">
                  <c:v>4.9216293111184418E-4</c:v>
                </c:pt>
                <c:pt idx="174">
                  <c:v>4.3437437409067831E-4</c:v>
                </c:pt>
                <c:pt idx="175">
                  <c:v>3.8273974689214703E-4</c:v>
                </c:pt>
                <c:pt idx="176">
                  <c:v>3.3668751159199854E-4</c:v>
                </c:pt>
                <c:pt idx="177">
                  <c:v>2.9568856094785799E-4</c:v>
                </c:pt>
                <c:pt idx="178">
                  <c:v>2.5925438624253047E-4</c:v>
                </c:pt>
                <c:pt idx="179">
                  <c:v>2.26935153281225E-4</c:v>
                </c:pt>
                <c:pt idx="180">
                  <c:v>1.9831771553379898E-4</c:v>
                </c:pt>
                <c:pt idx="181">
                  <c:v>1.7302359054360765E-4</c:v>
                </c:pt>
                <c:pt idx="182">
                  <c:v>1.5070692288616838E-4</c:v>
                </c:pt>
                <c:pt idx="183">
                  <c:v>1.3105245418911979E-4</c:v>
                </c:pt>
                <c:pt idx="184">
                  <c:v>1.1377351804989074E-4</c:v>
                </c:pt>
                <c:pt idx="185">
                  <c:v>9.861007513387962E-5</c:v>
                </c:pt>
                <c:pt idx="186">
                  <c:v>8.5326801323543791E-5</c:v>
                </c:pt>
                <c:pt idx="187">
                  <c:v>7.3711239532629869E-5</c:v>
                </c:pt>
                <c:pt idx="188">
                  <c:v>6.3572023710536281E-5</c:v>
                </c:pt>
                <c:pt idx="189">
                  <c:v>5.4737181646207341E-5</c:v>
                </c:pt>
                <c:pt idx="190">
                  <c:v>4.7052521442168798E-5</c:v>
                </c:pt>
                <c:pt idx="191">
                  <c:v>4.0380104967372349E-5</c:v>
                </c:pt>
                <c:pt idx="192">
                  <c:v>3.4596810209729343E-5</c:v>
                </c:pt>
                <c:pt idx="193">
                  <c:v>2.9592983230630012E-5</c:v>
                </c:pt>
                <c:pt idx="194">
                  <c:v>2.5271179367484406E-5</c:v>
                </c:pt>
                <c:pt idx="195">
                  <c:v>2.1544992428013805E-5</c:v>
                </c:pt>
                <c:pt idx="196">
                  <c:v>1.8337969862131877E-5</c:v>
                </c:pt>
                <c:pt idx="197">
                  <c:v>1.5582611273403583E-5</c:v>
                </c:pt>
                <c:pt idx="198">
                  <c:v>1.3219447131343812E-5</c:v>
                </c:pt>
                <c:pt idx="199">
                  <c:v>1.1196194157025461E-5</c:v>
                </c:pt>
                <c:pt idx="200">
                  <c:v>9.4669835663548798E-6</c:v>
                </c:pt>
              </c:numCache>
            </c:numRef>
          </c:val>
          <c:smooth val="0"/>
          <c:extLst>
            <c:ext xmlns:c16="http://schemas.microsoft.com/office/drawing/2014/chart" uri="{C3380CC4-5D6E-409C-BE32-E72D297353CC}">
              <c16:uniqueId val="{0000000E-1F59-43C1-AD0E-A27CF4B7A782}"/>
            </c:ext>
          </c:extLst>
        </c:ser>
        <c:dLbls>
          <c:showLegendKey val="0"/>
          <c:showVal val="0"/>
          <c:showCatName val="0"/>
          <c:showSerName val="0"/>
          <c:showPercent val="0"/>
          <c:showBubbleSize val="0"/>
        </c:dLbls>
        <c:marker val="1"/>
        <c:smooth val="0"/>
        <c:axId val="613283808"/>
        <c:axId val="613280200"/>
      </c:lineChart>
      <c:catAx>
        <c:axId val="613283808"/>
        <c:scaling>
          <c:orientation val="minMax"/>
        </c:scaling>
        <c:delete val="0"/>
        <c:axPos val="b"/>
        <c:numFmt formatCode="#,##0_);\(#,##0\)"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3280200"/>
        <c:crosses val="autoZero"/>
        <c:auto val="1"/>
        <c:lblAlgn val="ctr"/>
        <c:lblOffset val="100"/>
        <c:noMultiLvlLbl val="0"/>
      </c:catAx>
      <c:valAx>
        <c:axId val="6132802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3283808"/>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gradFill>
      <a:gsLst>
        <a:gs pos="15000">
          <a:schemeClr val="accent3">
            <a:lumMod val="5000"/>
            <a:lumOff val="95000"/>
          </a:schemeClr>
        </a:gs>
        <a:gs pos="74000">
          <a:schemeClr val="accent3">
            <a:lumMod val="45000"/>
            <a:lumOff val="55000"/>
          </a:schemeClr>
        </a:gs>
        <a:gs pos="83000">
          <a:schemeClr val="accent3">
            <a:lumMod val="45000"/>
            <a:lumOff val="55000"/>
          </a:schemeClr>
        </a:gs>
        <a:gs pos="100000">
          <a:schemeClr val="accent3">
            <a:lumMod val="30000"/>
            <a:lumOff val="70000"/>
          </a:schemeClr>
        </a:gs>
      </a:gsLst>
      <a:lin ang="5400000" scaled="1"/>
    </a:gra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0497-4565-8C40-F947AA387AA0}"/>
              </c:ext>
            </c:extLst>
          </c:dPt>
          <c:dPt>
            <c:idx val="1"/>
            <c:bubble3D val="0"/>
            <c:spPr>
              <a:solidFill>
                <a:schemeClr val="accent3"/>
              </a:solidFill>
              <a:ln w="19050">
                <a:solidFill>
                  <a:schemeClr val="lt1"/>
                </a:solidFill>
              </a:ln>
              <a:effectLst/>
            </c:spPr>
            <c:extLst>
              <c:ext xmlns:c16="http://schemas.microsoft.com/office/drawing/2014/chart" uri="{C3380CC4-5D6E-409C-BE32-E72D297353CC}">
                <c16:uniqueId val="{00000003-0497-4565-8C40-F947AA387AA0}"/>
              </c:ext>
            </c:extLst>
          </c:dPt>
          <c:dPt>
            <c:idx val="2"/>
            <c:bubble3D val="0"/>
            <c:spPr>
              <a:solidFill>
                <a:schemeClr val="accent2"/>
              </a:solidFill>
              <a:ln w="19050">
                <a:solidFill>
                  <a:schemeClr val="lt1"/>
                </a:solidFill>
              </a:ln>
              <a:effectLst/>
            </c:spPr>
            <c:extLst>
              <c:ext xmlns:c16="http://schemas.microsoft.com/office/drawing/2014/chart" uri="{C3380CC4-5D6E-409C-BE32-E72D297353CC}">
                <c16:uniqueId val="{00000005-0497-4565-8C40-F947AA387AA0}"/>
              </c:ext>
            </c:extLst>
          </c:dPt>
          <c:val>
            <c:numRef>
              <c:f>'SPERT® 1976-2025'!$D$23:$D$25</c:f>
              <c:numCache>
                <c:formatCode>0%</c:formatCode>
                <c:ptCount val="3"/>
                <c:pt idx="0">
                  <c:v>0.11400039841838627</c:v>
                </c:pt>
                <c:pt idx="1">
                  <c:v>0.53125754064903719</c:v>
                </c:pt>
                <c:pt idx="2">
                  <c:v>0.35474206093257654</c:v>
                </c:pt>
              </c:numCache>
            </c:numRef>
          </c:val>
          <c:extLst>
            <c:ext xmlns:c16="http://schemas.microsoft.com/office/drawing/2014/chart" uri="{C3380CC4-5D6E-409C-BE32-E72D297353CC}">
              <c16:uniqueId val="{00000006-0497-4565-8C40-F947AA387AA0}"/>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SPERT® Normal Distribution of Washington DC's</a:t>
            </a:r>
          </a:p>
          <a:p>
            <a:pPr>
              <a:defRPr/>
            </a:pPr>
            <a:r>
              <a:rPr lang="en-US"/>
              <a:t>Cherry Blossom Peak</a:t>
            </a:r>
          </a:p>
        </c:rich>
      </c:tx>
      <c:layout>
        <c:manualLayout>
          <c:xMode val="edge"/>
          <c:yMode val="edge"/>
          <c:x val="0.29356626752077641"/>
          <c:y val="2.313924924645802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3"/>
            </a:solidFill>
            <a:ln>
              <a:noFill/>
            </a:ln>
            <a:effectLst/>
          </c:spPr>
          <c:invertIfNegative val="0"/>
          <c:cat>
            <c:numRef>
              <c:f>'SPERT® 1976-2025'!$W$4:$HO$4</c:f>
              <c:numCache>
                <c:formatCode>#,##0_);\(#,##0\)</c:formatCode>
                <c:ptCount val="201"/>
                <c:pt idx="0">
                  <c:v>62.77142857142892</c:v>
                </c:pt>
                <c:pt idx="1">
                  <c:v>63.045714285714638</c:v>
                </c:pt>
                <c:pt idx="2">
                  <c:v>63.320000000000356</c:v>
                </c:pt>
                <c:pt idx="3">
                  <c:v>63.594285714286073</c:v>
                </c:pt>
                <c:pt idx="4">
                  <c:v>63.868571428571791</c:v>
                </c:pt>
                <c:pt idx="5">
                  <c:v>64.142857142857508</c:v>
                </c:pt>
                <c:pt idx="6">
                  <c:v>64.417142857143219</c:v>
                </c:pt>
                <c:pt idx="7">
                  <c:v>64.691428571428929</c:v>
                </c:pt>
                <c:pt idx="8">
                  <c:v>64.96571428571464</c:v>
                </c:pt>
                <c:pt idx="9">
                  <c:v>65.24000000000035</c:v>
                </c:pt>
                <c:pt idx="10">
                  <c:v>65.514285714286061</c:v>
                </c:pt>
                <c:pt idx="11">
                  <c:v>65.788571428571771</c:v>
                </c:pt>
                <c:pt idx="12">
                  <c:v>66.062857142857482</c:v>
                </c:pt>
                <c:pt idx="13">
                  <c:v>66.337142857143192</c:v>
                </c:pt>
                <c:pt idx="14">
                  <c:v>66.611428571428903</c:v>
                </c:pt>
                <c:pt idx="15">
                  <c:v>66.885714285714613</c:v>
                </c:pt>
                <c:pt idx="16">
                  <c:v>67.160000000000323</c:v>
                </c:pt>
                <c:pt idx="17">
                  <c:v>67.434285714286034</c:v>
                </c:pt>
                <c:pt idx="18">
                  <c:v>67.708571428571744</c:v>
                </c:pt>
                <c:pt idx="19">
                  <c:v>67.982857142857455</c:v>
                </c:pt>
                <c:pt idx="20">
                  <c:v>68.257142857143165</c:v>
                </c:pt>
                <c:pt idx="21">
                  <c:v>68.531428571428876</c:v>
                </c:pt>
                <c:pt idx="22">
                  <c:v>68.805714285714586</c:v>
                </c:pt>
                <c:pt idx="23">
                  <c:v>69.080000000000297</c:v>
                </c:pt>
                <c:pt idx="24">
                  <c:v>69.354285714286007</c:v>
                </c:pt>
                <c:pt idx="25">
                  <c:v>69.628571428571718</c:v>
                </c:pt>
                <c:pt idx="26">
                  <c:v>69.902857142857428</c:v>
                </c:pt>
                <c:pt idx="27">
                  <c:v>70.177142857143139</c:v>
                </c:pt>
                <c:pt idx="28">
                  <c:v>70.451428571428849</c:v>
                </c:pt>
                <c:pt idx="29">
                  <c:v>70.72571428571456</c:v>
                </c:pt>
                <c:pt idx="30">
                  <c:v>71.00000000000027</c:v>
                </c:pt>
                <c:pt idx="31">
                  <c:v>71.27428571428598</c:v>
                </c:pt>
                <c:pt idx="32">
                  <c:v>71.548571428571691</c:v>
                </c:pt>
                <c:pt idx="33">
                  <c:v>71.822857142857401</c:v>
                </c:pt>
                <c:pt idx="34">
                  <c:v>72.097142857143112</c:v>
                </c:pt>
                <c:pt idx="35">
                  <c:v>72.371428571428822</c:v>
                </c:pt>
                <c:pt idx="36">
                  <c:v>72.645714285714533</c:v>
                </c:pt>
                <c:pt idx="37">
                  <c:v>72.920000000000243</c:v>
                </c:pt>
                <c:pt idx="38">
                  <c:v>73.194285714285954</c:v>
                </c:pt>
                <c:pt idx="39">
                  <c:v>73.468571428571664</c:v>
                </c:pt>
                <c:pt idx="40">
                  <c:v>73.742857142857375</c:v>
                </c:pt>
                <c:pt idx="41">
                  <c:v>74.017142857143085</c:v>
                </c:pt>
                <c:pt idx="42">
                  <c:v>74.291428571428796</c:v>
                </c:pt>
                <c:pt idx="43">
                  <c:v>74.565714285714506</c:v>
                </c:pt>
                <c:pt idx="44">
                  <c:v>74.840000000000217</c:v>
                </c:pt>
                <c:pt idx="45">
                  <c:v>75.114285714285927</c:v>
                </c:pt>
                <c:pt idx="46">
                  <c:v>75.388571428571638</c:v>
                </c:pt>
                <c:pt idx="47">
                  <c:v>75.662857142857348</c:v>
                </c:pt>
                <c:pt idx="48">
                  <c:v>75.937142857143058</c:v>
                </c:pt>
                <c:pt idx="49">
                  <c:v>76.211428571428769</c:v>
                </c:pt>
                <c:pt idx="50">
                  <c:v>76.485714285714479</c:v>
                </c:pt>
                <c:pt idx="51">
                  <c:v>76.76000000000019</c:v>
                </c:pt>
                <c:pt idx="52">
                  <c:v>77.0342857142859</c:v>
                </c:pt>
                <c:pt idx="53">
                  <c:v>77.308571428571611</c:v>
                </c:pt>
                <c:pt idx="54">
                  <c:v>77.582857142857321</c:v>
                </c:pt>
                <c:pt idx="55">
                  <c:v>77.857142857143032</c:v>
                </c:pt>
                <c:pt idx="56">
                  <c:v>78.131428571428742</c:v>
                </c:pt>
                <c:pt idx="57">
                  <c:v>78.405714285714453</c:v>
                </c:pt>
                <c:pt idx="58">
                  <c:v>78.680000000000163</c:v>
                </c:pt>
                <c:pt idx="59">
                  <c:v>78.954285714285874</c:v>
                </c:pt>
                <c:pt idx="60">
                  <c:v>79.228571428571584</c:v>
                </c:pt>
                <c:pt idx="61">
                  <c:v>79.502857142857295</c:v>
                </c:pt>
                <c:pt idx="62">
                  <c:v>79.777142857143005</c:v>
                </c:pt>
                <c:pt idx="63">
                  <c:v>80.051428571428715</c:v>
                </c:pt>
                <c:pt idx="64">
                  <c:v>80.325714285714426</c:v>
                </c:pt>
                <c:pt idx="65">
                  <c:v>80.600000000000136</c:v>
                </c:pt>
                <c:pt idx="66">
                  <c:v>80.874285714285847</c:v>
                </c:pt>
                <c:pt idx="67">
                  <c:v>81.148571428571557</c:v>
                </c:pt>
                <c:pt idx="68">
                  <c:v>81.422857142857268</c:v>
                </c:pt>
                <c:pt idx="69">
                  <c:v>81.697142857142978</c:v>
                </c:pt>
                <c:pt idx="70">
                  <c:v>81.971428571428689</c:v>
                </c:pt>
                <c:pt idx="71">
                  <c:v>82.245714285714399</c:v>
                </c:pt>
                <c:pt idx="72">
                  <c:v>82.52000000000011</c:v>
                </c:pt>
                <c:pt idx="73">
                  <c:v>82.79428571428582</c:v>
                </c:pt>
                <c:pt idx="74">
                  <c:v>83.068571428571531</c:v>
                </c:pt>
                <c:pt idx="75">
                  <c:v>83.342857142857241</c:v>
                </c:pt>
                <c:pt idx="76">
                  <c:v>83.617142857142952</c:v>
                </c:pt>
                <c:pt idx="77">
                  <c:v>83.891428571428662</c:v>
                </c:pt>
                <c:pt idx="78">
                  <c:v>84.165714285714373</c:v>
                </c:pt>
                <c:pt idx="79">
                  <c:v>84.440000000000083</c:v>
                </c:pt>
                <c:pt idx="80">
                  <c:v>84.714285714285793</c:v>
                </c:pt>
                <c:pt idx="81">
                  <c:v>84.988571428571504</c:v>
                </c:pt>
                <c:pt idx="82">
                  <c:v>85.262857142857214</c:v>
                </c:pt>
                <c:pt idx="83">
                  <c:v>85.537142857142925</c:v>
                </c:pt>
                <c:pt idx="84">
                  <c:v>85.811428571428635</c:v>
                </c:pt>
                <c:pt idx="85">
                  <c:v>86.085714285714346</c:v>
                </c:pt>
                <c:pt idx="86">
                  <c:v>86.360000000000056</c:v>
                </c:pt>
                <c:pt idx="87">
                  <c:v>86.634285714285767</c:v>
                </c:pt>
                <c:pt idx="88">
                  <c:v>86.908571428571477</c:v>
                </c:pt>
                <c:pt idx="89">
                  <c:v>87.182857142857188</c:v>
                </c:pt>
                <c:pt idx="90">
                  <c:v>87.457142857142898</c:v>
                </c:pt>
                <c:pt idx="91">
                  <c:v>87.731428571428609</c:v>
                </c:pt>
                <c:pt idx="92">
                  <c:v>88.005714285714319</c:v>
                </c:pt>
                <c:pt idx="93">
                  <c:v>88.28000000000003</c:v>
                </c:pt>
                <c:pt idx="94">
                  <c:v>88.55428571428574</c:v>
                </c:pt>
                <c:pt idx="95">
                  <c:v>88.82857142857145</c:v>
                </c:pt>
                <c:pt idx="96">
                  <c:v>89.102857142857161</c:v>
                </c:pt>
                <c:pt idx="97">
                  <c:v>89.377142857142871</c:v>
                </c:pt>
                <c:pt idx="98">
                  <c:v>89.651428571428582</c:v>
                </c:pt>
                <c:pt idx="99">
                  <c:v>89.925714285714292</c:v>
                </c:pt>
                <c:pt idx="100">
                  <c:v>90.2</c:v>
                </c:pt>
                <c:pt idx="101">
                  <c:v>90.474285714285713</c:v>
                </c:pt>
                <c:pt idx="102">
                  <c:v>90.748571428571424</c:v>
                </c:pt>
                <c:pt idx="103">
                  <c:v>91.022857142857134</c:v>
                </c:pt>
                <c:pt idx="104">
                  <c:v>91.297142857142845</c:v>
                </c:pt>
                <c:pt idx="105">
                  <c:v>91.571428571428555</c:v>
                </c:pt>
                <c:pt idx="106">
                  <c:v>91.845714285714266</c:v>
                </c:pt>
                <c:pt idx="107">
                  <c:v>92.119999999999976</c:v>
                </c:pt>
                <c:pt idx="108">
                  <c:v>92.394285714285687</c:v>
                </c:pt>
                <c:pt idx="109">
                  <c:v>92.668571428571397</c:v>
                </c:pt>
                <c:pt idx="110">
                  <c:v>92.942857142857108</c:v>
                </c:pt>
                <c:pt idx="111">
                  <c:v>93.217142857142818</c:v>
                </c:pt>
                <c:pt idx="112">
                  <c:v>93.491428571428528</c:v>
                </c:pt>
                <c:pt idx="113">
                  <c:v>93.765714285714239</c:v>
                </c:pt>
                <c:pt idx="114">
                  <c:v>94.039999999999949</c:v>
                </c:pt>
                <c:pt idx="115">
                  <c:v>94.31428571428566</c:v>
                </c:pt>
                <c:pt idx="116">
                  <c:v>94.58857142857137</c:v>
                </c:pt>
                <c:pt idx="117">
                  <c:v>94.862857142857081</c:v>
                </c:pt>
                <c:pt idx="118">
                  <c:v>95.137142857142791</c:v>
                </c:pt>
                <c:pt idx="119">
                  <c:v>95.411428571428502</c:v>
                </c:pt>
                <c:pt idx="120">
                  <c:v>95.685714285714212</c:v>
                </c:pt>
                <c:pt idx="121">
                  <c:v>95.959999999999923</c:v>
                </c:pt>
                <c:pt idx="122">
                  <c:v>96.234285714285633</c:v>
                </c:pt>
                <c:pt idx="123">
                  <c:v>96.508571428571344</c:v>
                </c:pt>
                <c:pt idx="124">
                  <c:v>96.782857142857054</c:v>
                </c:pt>
                <c:pt idx="125">
                  <c:v>97.057142857142765</c:v>
                </c:pt>
                <c:pt idx="126">
                  <c:v>97.331428571428475</c:v>
                </c:pt>
                <c:pt idx="127">
                  <c:v>97.605714285714186</c:v>
                </c:pt>
                <c:pt idx="128">
                  <c:v>97.879999999999896</c:v>
                </c:pt>
                <c:pt idx="129">
                  <c:v>98.154285714285606</c:v>
                </c:pt>
                <c:pt idx="130">
                  <c:v>98.428571428571317</c:v>
                </c:pt>
                <c:pt idx="131">
                  <c:v>98.702857142857027</c:v>
                </c:pt>
                <c:pt idx="132">
                  <c:v>98.977142857142738</c:v>
                </c:pt>
                <c:pt idx="133">
                  <c:v>99.251428571428448</c:v>
                </c:pt>
                <c:pt idx="134">
                  <c:v>99.525714285714159</c:v>
                </c:pt>
                <c:pt idx="135">
                  <c:v>99.799999999999869</c:v>
                </c:pt>
                <c:pt idx="136">
                  <c:v>100.07428571428558</c:v>
                </c:pt>
                <c:pt idx="137">
                  <c:v>100.34857142857129</c:v>
                </c:pt>
                <c:pt idx="138">
                  <c:v>100.622857142857</c:v>
                </c:pt>
                <c:pt idx="139">
                  <c:v>100.89714285714271</c:v>
                </c:pt>
                <c:pt idx="140">
                  <c:v>101.17142857142842</c:v>
                </c:pt>
                <c:pt idx="141">
                  <c:v>101.44571428571413</c:v>
                </c:pt>
                <c:pt idx="142">
                  <c:v>101.71999999999984</c:v>
                </c:pt>
                <c:pt idx="143">
                  <c:v>101.99428571428555</c:v>
                </c:pt>
                <c:pt idx="144">
                  <c:v>102.26857142857126</c:v>
                </c:pt>
                <c:pt idx="145">
                  <c:v>102.54285714285697</c:v>
                </c:pt>
                <c:pt idx="146">
                  <c:v>102.81714285714268</c:v>
                </c:pt>
                <c:pt idx="147">
                  <c:v>103.09142857142839</c:v>
                </c:pt>
                <c:pt idx="148">
                  <c:v>103.36571428571411</c:v>
                </c:pt>
                <c:pt idx="149">
                  <c:v>103.63999999999982</c:v>
                </c:pt>
                <c:pt idx="150">
                  <c:v>103.91428571428553</c:v>
                </c:pt>
                <c:pt idx="151">
                  <c:v>104.18857142857124</c:v>
                </c:pt>
                <c:pt idx="152">
                  <c:v>104.46285714285695</c:v>
                </c:pt>
                <c:pt idx="153">
                  <c:v>104.73714285714266</c:v>
                </c:pt>
                <c:pt idx="154">
                  <c:v>105.01142857142837</c:v>
                </c:pt>
                <c:pt idx="155">
                  <c:v>105.28571428571408</c:v>
                </c:pt>
                <c:pt idx="156">
                  <c:v>105.55999999999979</c:v>
                </c:pt>
                <c:pt idx="157">
                  <c:v>105.8342857142855</c:v>
                </c:pt>
                <c:pt idx="158">
                  <c:v>106.10857142857121</c:v>
                </c:pt>
                <c:pt idx="159">
                  <c:v>106.38285714285692</c:v>
                </c:pt>
                <c:pt idx="160">
                  <c:v>106.65714285714263</c:v>
                </c:pt>
                <c:pt idx="161">
                  <c:v>106.93142857142834</c:v>
                </c:pt>
                <c:pt idx="162">
                  <c:v>107.20571428571405</c:v>
                </c:pt>
                <c:pt idx="163">
                  <c:v>107.47999999999976</c:v>
                </c:pt>
                <c:pt idx="164">
                  <c:v>107.75428571428547</c:v>
                </c:pt>
                <c:pt idx="165">
                  <c:v>108.02857142857118</c:v>
                </c:pt>
                <c:pt idx="166">
                  <c:v>108.30285714285689</c:v>
                </c:pt>
                <c:pt idx="167">
                  <c:v>108.5771428571426</c:v>
                </c:pt>
                <c:pt idx="168">
                  <c:v>108.85142857142831</c:v>
                </c:pt>
                <c:pt idx="169">
                  <c:v>109.12571428571403</c:v>
                </c:pt>
                <c:pt idx="170">
                  <c:v>109.39999999999974</c:v>
                </c:pt>
                <c:pt idx="171">
                  <c:v>109.67428571428545</c:v>
                </c:pt>
                <c:pt idx="172">
                  <c:v>109.94857142857116</c:v>
                </c:pt>
                <c:pt idx="173">
                  <c:v>110.22285714285687</c:v>
                </c:pt>
                <c:pt idx="174">
                  <c:v>110.49714285714258</c:v>
                </c:pt>
                <c:pt idx="175">
                  <c:v>110.77142857142829</c:v>
                </c:pt>
                <c:pt idx="176">
                  <c:v>111.045714285714</c:v>
                </c:pt>
                <c:pt idx="177">
                  <c:v>111.31999999999971</c:v>
                </c:pt>
                <c:pt idx="178">
                  <c:v>111.59428571428542</c:v>
                </c:pt>
                <c:pt idx="179">
                  <c:v>111.86857142857113</c:v>
                </c:pt>
                <c:pt idx="180">
                  <c:v>112.14285714285684</c:v>
                </c:pt>
                <c:pt idx="181">
                  <c:v>112.41714285714255</c:v>
                </c:pt>
                <c:pt idx="182">
                  <c:v>112.69142857142826</c:v>
                </c:pt>
                <c:pt idx="183">
                  <c:v>112.96571428571397</c:v>
                </c:pt>
                <c:pt idx="184">
                  <c:v>113.23999999999968</c:v>
                </c:pt>
                <c:pt idx="185">
                  <c:v>113.51428571428539</c:v>
                </c:pt>
                <c:pt idx="186">
                  <c:v>113.7885714285711</c:v>
                </c:pt>
                <c:pt idx="187">
                  <c:v>114.06285714285681</c:v>
                </c:pt>
                <c:pt idx="188">
                  <c:v>114.33714285714252</c:v>
                </c:pt>
                <c:pt idx="189">
                  <c:v>114.61142857142823</c:v>
                </c:pt>
                <c:pt idx="190">
                  <c:v>114.88571428571395</c:v>
                </c:pt>
                <c:pt idx="191">
                  <c:v>115.15999999999966</c:v>
                </c:pt>
                <c:pt idx="192">
                  <c:v>115.43428571428537</c:v>
                </c:pt>
                <c:pt idx="193">
                  <c:v>115.70857142857108</c:v>
                </c:pt>
                <c:pt idx="194">
                  <c:v>115.98285714285679</c:v>
                </c:pt>
                <c:pt idx="195">
                  <c:v>116.2571428571425</c:v>
                </c:pt>
                <c:pt idx="196">
                  <c:v>116.53142857142821</c:v>
                </c:pt>
                <c:pt idx="197">
                  <c:v>116.80571428571392</c:v>
                </c:pt>
                <c:pt idx="198">
                  <c:v>117.07999999999963</c:v>
                </c:pt>
                <c:pt idx="199">
                  <c:v>117.35428571428534</c:v>
                </c:pt>
                <c:pt idx="200">
                  <c:v>117.62857142857105</c:v>
                </c:pt>
              </c:numCache>
            </c:numRef>
          </c:cat>
          <c:val>
            <c:numRef>
              <c:f>'SPERT® 1976-2025'!$HP$8:$PH$8</c:f>
              <c:numCache>
                <c:formatCode>General</c:formatCode>
                <c:ptCount val="201"/>
                <c:pt idx="0">
                  <c:v>2.6411860127023769E-5</c:v>
                </c:pt>
                <c:pt idx="1">
                  <c:v>3.0918356024190582E-5</c:v>
                </c:pt>
                <c:pt idx="2">
                  <c:v>3.6134928534170061E-5</c:v>
                </c:pt>
                <c:pt idx="3">
                  <c:v>4.2162990615244138E-5</c:v>
                </c:pt>
                <c:pt idx="4">
                  <c:v>4.9116681499027982E-5</c:v>
                </c:pt>
                <c:pt idx="5">
                  <c:v>5.7124186284421039E-5</c:v>
                </c:pt>
                <c:pt idx="6">
                  <c:v>6.6329150948258174E-5</c:v>
                </c:pt>
                <c:pt idx="7">
                  <c:v>7.6892193599107796E-5</c:v>
                </c:pt>
                <c:pt idx="8">
                  <c:v>8.8992511754822104E-5</c:v>
                </c:pt>
                <c:pt idx="9">
                  <c:v>1.0282958421137581E-4</c:v>
                </c:pt>
                <c:pt idx="10">
                  <c:v>1.1862496468227354E-4</c:v>
                </c:pt>
                <c:pt idx="11">
                  <c:v>1.3662416281819885E-4</c:v>
                </c:pt>
                <c:pt idx="12">
                  <c:v>1.5709860646163779E-4</c:v>
                </c:pt>
                <c:pt idx="13">
                  <c:v>1.8034767704957122E-4</c:v>
                </c:pt>
                <c:pt idx="14">
                  <c:v>2.0670080795067187E-4</c:v>
                </c:pt>
                <c:pt idx="15">
                  <c:v>2.3651963321691529E-4</c:v>
                </c:pt>
                <c:pt idx="16">
                  <c:v>2.7020017175222465E-4</c:v>
                </c:pt>
                <c:pt idx="17">
                  <c:v>3.0817502926609231E-4</c:v>
                </c:pt>
                <c:pt idx="18">
                  <c:v>3.509155976062165E-4</c:v>
                </c:pt>
                <c:pt idx="19">
                  <c:v>3.989342281742321E-4</c:v>
                </c:pt>
                <c:pt idx="20">
                  <c:v>4.5278635315117258E-4</c:v>
                </c:pt>
                <c:pt idx="21">
                  <c:v>5.1307252522847784E-4</c:v>
                </c:pt>
                <c:pt idx="22">
                  <c:v>5.8044034349603879E-4</c:v>
                </c:pt>
                <c:pt idx="23">
                  <c:v>6.5558623012650444E-4</c:v>
                </c:pt>
                <c:pt idx="24">
                  <c:v>7.3925701956617366E-4</c:v>
                </c:pt>
                <c:pt idx="25">
                  <c:v>8.3225131915396768E-4</c:v>
                </c:pt>
                <c:pt idx="26">
                  <c:v>9.3542059750312983E-4</c:v>
                </c:pt>
                <c:pt idx="27">
                  <c:v>1.0496699546618511E-3</c:v>
                </c:pt>
                <c:pt idx="28">
                  <c:v>1.1759585260895328E-3</c:v>
                </c:pt>
                <c:pt idx="29">
                  <c:v>1.3152994709183159E-3</c:v>
                </c:pt>
                <c:pt idx="30">
                  <c:v>1.4687594938907343E-3</c:v>
                </c:pt>
                <c:pt idx="31">
                  <c:v>1.637457849850435E-3</c:v>
                </c:pt>
                <c:pt idx="32">
                  <c:v>1.8225647797902699E-3</c:v>
                </c:pt>
                <c:pt idx="33">
                  <c:v>2.0252993283052323E-3</c:v>
                </c:pt>
                <c:pt idx="34">
                  <c:v>2.246926493927652E-3</c:v>
                </c:pt>
                <c:pt idx="35">
                  <c:v>2.4887536663045782E-3</c:v>
                </c:pt>
                <c:pt idx="36">
                  <c:v>2.7521263075712373E-3</c:v>
                </c:pt>
                <c:pt idx="37">
                  <c:v>3.0384228396294266E-3</c:v>
                </c:pt>
                <c:pt idx="38">
                  <c:v>3.3490487043947468E-3</c:v>
                </c:pt>
                <c:pt idx="39">
                  <c:v>3.6854295704575788E-3</c:v>
                </c:pt>
                <c:pt idx="40">
                  <c:v>4.0490036670209461E-3</c:v>
                </c:pt>
                <c:pt idx="41">
                  <c:v>4.4412132344287545E-3</c:v>
                </c:pt>
                <c:pt idx="42">
                  <c:v>4.8634950900568125E-3</c:v>
                </c:pt>
                <c:pt idx="43">
                  <c:v>5.3172703187637843E-3</c:v>
                </c:pt>
                <c:pt idx="44">
                  <c:v>5.8039331084258289E-3</c:v>
                </c:pt>
                <c:pt idx="45">
                  <c:v>6.3248387632222026E-3</c:v>
                </c:pt>
                <c:pt idx="46">
                  <c:v>6.8812909401915973E-3</c:v>
                </c:pt>
                <c:pt idx="47">
                  <c:v>7.4745281680114427E-3</c:v>
                </c:pt>
                <c:pt idx="48">
                  <c:v>8.1057097208122476E-3</c:v>
                </c:pt>
                <c:pt idx="49">
                  <c:v>8.7759009339548281E-3</c:v>
                </c:pt>
                <c:pt idx="50">
                  <c:v>9.4860580628759548E-3</c:v>
                </c:pt>
                <c:pt idx="51">
                  <c:v>1.0237012800138707E-2</c:v>
                </c:pt>
                <c:pt idx="52">
                  <c:v>1.1029456579479688E-2</c:v>
                </c:pt>
                <c:pt idx="53">
                  <c:v>1.186392480868919E-2</c:v>
                </c:pt>
                <c:pt idx="54">
                  <c:v>1.2740781185342701E-2</c:v>
                </c:pt>
                <c:pt idx="55">
                  <c:v>1.3660202260469821E-2</c:v>
                </c:pt>
                <c:pt idx="56">
                  <c:v>1.4622162424944418E-2</c:v>
                </c:pt>
                <c:pt idx="57">
                  <c:v>1.5626419501456084E-2</c:v>
                </c:pt>
                <c:pt idx="58">
                  <c:v>1.6672501131133867E-2</c:v>
                </c:pt>
                <c:pt idx="59">
                  <c:v>1.7759692148009727E-2</c:v>
                </c:pt>
                <c:pt idx="60">
                  <c:v>1.888702313631839E-2</c:v>
                </c:pt>
                <c:pt idx="61">
                  <c:v>2.0053260364946264E-2</c:v>
                </c:pt>
                <c:pt idx="62">
                  <c:v>2.1256897290004958E-2</c:v>
                </c:pt>
                <c:pt idx="63">
                  <c:v>2.249614781039088E-2</c:v>
                </c:pt>
                <c:pt idx="64">
                  <c:v>2.3768941452214341E-2</c:v>
                </c:pt>
                <c:pt idx="65">
                  <c:v>2.507292064609639E-2</c:v>
                </c:pt>
                <c:pt idx="66">
                  <c:v>2.6405440246540717E-2</c:v>
                </c:pt>
                <c:pt idx="67">
                  <c:v>2.7763569424942035E-2</c:v>
                </c:pt>
                <c:pt idx="68">
                  <c:v>2.9144096047393521E-2</c:v>
                </c:pt>
                <c:pt idx="69">
                  <c:v>3.0543533625455439E-2</c:v>
                </c:pt>
                <c:pt idx="70">
                  <c:v>3.1958130902651635E-2</c:v>
                </c:pt>
                <c:pt idx="71">
                  <c:v>3.3383884111923876E-2</c:v>
                </c:pt>
                <c:pt idx="72">
                  <c:v>3.4816551909900961E-2</c:v>
                </c:pt>
                <c:pt idx="73">
                  <c:v>3.6251672962980076E-2</c:v>
                </c:pt>
                <c:pt idx="74">
                  <c:v>3.7684586128262088E-2</c:v>
                </c:pt>
                <c:pt idx="75">
                  <c:v>3.9110453139759978E-2</c:v>
                </c:pt>
                <c:pt idx="76">
                  <c:v>4.0524283677465203E-2</c:v>
                </c:pt>
                <c:pt idx="77">
                  <c:v>4.1920962664293758E-2</c:v>
                </c:pt>
                <c:pt idx="78">
                  <c:v>4.3295279604136844E-2</c:v>
                </c:pt>
                <c:pt idx="79">
                  <c:v>4.4641959743712781E-2</c:v>
                </c:pt>
                <c:pt idx="80">
                  <c:v>4.5955696812159781E-2</c:v>
                </c:pt>
                <c:pt idx="81">
                  <c:v>4.7231187065811184E-2</c:v>
                </c:pt>
                <c:pt idx="82">
                  <c:v>4.8463164341827E-2</c:v>
                </c:pt>
                <c:pt idx="83">
                  <c:v>4.9646435803756161E-2</c:v>
                </c:pt>
                <c:pt idx="84">
                  <c:v>5.0775918045075481E-2</c:v>
                </c:pt>
                <c:pt idx="85">
                  <c:v>5.184667320364663E-2</c:v>
                </c:pt>
                <c:pt idx="86">
                  <c:v>5.2853944731152701E-2</c:v>
                </c:pt>
                <c:pt idx="87">
                  <c:v>5.3793192457156642E-2</c:v>
                </c:pt>
                <c:pt idx="88">
                  <c:v>5.4660126587638302E-2</c:v>
                </c:pt>
                <c:pt idx="89">
                  <c:v>5.5450740282810294E-2</c:v>
                </c:pt>
                <c:pt idx="90">
                  <c:v>5.616134046871081E-2</c:v>
                </c:pt>
                <c:pt idx="91">
                  <c:v>5.6788576551466831E-2</c:v>
                </c:pt>
                <c:pt idx="92">
                  <c:v>5.7329466722083555E-2</c:v>
                </c:pt>
                <c:pt idx="93">
                  <c:v>5.7781421562934303E-2</c:v>
                </c:pt>
                <c:pt idx="94">
                  <c:v>5.8142264694517123E-2</c:v>
                </c:pt>
                <c:pt idx="95">
                  <c:v>5.8410250232155465E-2</c:v>
                </c:pt>
                <c:pt idx="96">
                  <c:v>5.8584076856732906E-2</c:v>
                </c:pt>
                <c:pt idx="97">
                  <c:v>5.8662898340789651E-2</c:v>
                </c:pt>
                <c:pt idx="98">
                  <c:v>5.8646330410845209E-2</c:v>
                </c:pt>
                <c:pt idx="99">
                  <c:v>5.8534453868081052E-2</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extLst>
            <c:ext xmlns:c16="http://schemas.microsoft.com/office/drawing/2014/chart" uri="{C3380CC4-5D6E-409C-BE32-E72D297353CC}">
              <c16:uniqueId val="{00000000-46EE-4D64-93C3-5CDB585C012C}"/>
            </c:ext>
          </c:extLst>
        </c:ser>
        <c:ser>
          <c:idx val="1"/>
          <c:order val="1"/>
          <c:spPr>
            <a:solidFill>
              <a:schemeClr val="accent1"/>
            </a:solidFill>
            <a:ln>
              <a:noFill/>
            </a:ln>
            <a:effectLst/>
          </c:spPr>
          <c:invertIfNegative val="0"/>
          <c:cat>
            <c:numRef>
              <c:f>'SPERT® 1976-2025'!$W$4:$HO$4</c:f>
              <c:numCache>
                <c:formatCode>#,##0_);\(#,##0\)</c:formatCode>
                <c:ptCount val="201"/>
                <c:pt idx="0">
                  <c:v>62.77142857142892</c:v>
                </c:pt>
                <c:pt idx="1">
                  <c:v>63.045714285714638</c:v>
                </c:pt>
                <c:pt idx="2">
                  <c:v>63.320000000000356</c:v>
                </c:pt>
                <c:pt idx="3">
                  <c:v>63.594285714286073</c:v>
                </c:pt>
                <c:pt idx="4">
                  <c:v>63.868571428571791</c:v>
                </c:pt>
                <c:pt idx="5">
                  <c:v>64.142857142857508</c:v>
                </c:pt>
                <c:pt idx="6">
                  <c:v>64.417142857143219</c:v>
                </c:pt>
                <c:pt idx="7">
                  <c:v>64.691428571428929</c:v>
                </c:pt>
                <c:pt idx="8">
                  <c:v>64.96571428571464</c:v>
                </c:pt>
                <c:pt idx="9">
                  <c:v>65.24000000000035</c:v>
                </c:pt>
                <c:pt idx="10">
                  <c:v>65.514285714286061</c:v>
                </c:pt>
                <c:pt idx="11">
                  <c:v>65.788571428571771</c:v>
                </c:pt>
                <c:pt idx="12">
                  <c:v>66.062857142857482</c:v>
                </c:pt>
                <c:pt idx="13">
                  <c:v>66.337142857143192</c:v>
                </c:pt>
                <c:pt idx="14">
                  <c:v>66.611428571428903</c:v>
                </c:pt>
                <c:pt idx="15">
                  <c:v>66.885714285714613</c:v>
                </c:pt>
                <c:pt idx="16">
                  <c:v>67.160000000000323</c:v>
                </c:pt>
                <c:pt idx="17">
                  <c:v>67.434285714286034</c:v>
                </c:pt>
                <c:pt idx="18">
                  <c:v>67.708571428571744</c:v>
                </c:pt>
                <c:pt idx="19">
                  <c:v>67.982857142857455</c:v>
                </c:pt>
                <c:pt idx="20">
                  <c:v>68.257142857143165</c:v>
                </c:pt>
                <c:pt idx="21">
                  <c:v>68.531428571428876</c:v>
                </c:pt>
                <c:pt idx="22">
                  <c:v>68.805714285714586</c:v>
                </c:pt>
                <c:pt idx="23">
                  <c:v>69.080000000000297</c:v>
                </c:pt>
                <c:pt idx="24">
                  <c:v>69.354285714286007</c:v>
                </c:pt>
                <c:pt idx="25">
                  <c:v>69.628571428571718</c:v>
                </c:pt>
                <c:pt idx="26">
                  <c:v>69.902857142857428</c:v>
                </c:pt>
                <c:pt idx="27">
                  <c:v>70.177142857143139</c:v>
                </c:pt>
                <c:pt idx="28">
                  <c:v>70.451428571428849</c:v>
                </c:pt>
                <c:pt idx="29">
                  <c:v>70.72571428571456</c:v>
                </c:pt>
                <c:pt idx="30">
                  <c:v>71.00000000000027</c:v>
                </c:pt>
                <c:pt idx="31">
                  <c:v>71.27428571428598</c:v>
                </c:pt>
                <c:pt idx="32">
                  <c:v>71.548571428571691</c:v>
                </c:pt>
                <c:pt idx="33">
                  <c:v>71.822857142857401</c:v>
                </c:pt>
                <c:pt idx="34">
                  <c:v>72.097142857143112</c:v>
                </c:pt>
                <c:pt idx="35">
                  <c:v>72.371428571428822</c:v>
                </c:pt>
                <c:pt idx="36">
                  <c:v>72.645714285714533</c:v>
                </c:pt>
                <c:pt idx="37">
                  <c:v>72.920000000000243</c:v>
                </c:pt>
                <c:pt idx="38">
                  <c:v>73.194285714285954</c:v>
                </c:pt>
                <c:pt idx="39">
                  <c:v>73.468571428571664</c:v>
                </c:pt>
                <c:pt idx="40">
                  <c:v>73.742857142857375</c:v>
                </c:pt>
                <c:pt idx="41">
                  <c:v>74.017142857143085</c:v>
                </c:pt>
                <c:pt idx="42">
                  <c:v>74.291428571428796</c:v>
                </c:pt>
                <c:pt idx="43">
                  <c:v>74.565714285714506</c:v>
                </c:pt>
                <c:pt idx="44">
                  <c:v>74.840000000000217</c:v>
                </c:pt>
                <c:pt idx="45">
                  <c:v>75.114285714285927</c:v>
                </c:pt>
                <c:pt idx="46">
                  <c:v>75.388571428571638</c:v>
                </c:pt>
                <c:pt idx="47">
                  <c:v>75.662857142857348</c:v>
                </c:pt>
                <c:pt idx="48">
                  <c:v>75.937142857143058</c:v>
                </c:pt>
                <c:pt idx="49">
                  <c:v>76.211428571428769</c:v>
                </c:pt>
                <c:pt idx="50">
                  <c:v>76.485714285714479</c:v>
                </c:pt>
                <c:pt idx="51">
                  <c:v>76.76000000000019</c:v>
                </c:pt>
                <c:pt idx="52">
                  <c:v>77.0342857142859</c:v>
                </c:pt>
                <c:pt idx="53">
                  <c:v>77.308571428571611</c:v>
                </c:pt>
                <c:pt idx="54">
                  <c:v>77.582857142857321</c:v>
                </c:pt>
                <c:pt idx="55">
                  <c:v>77.857142857143032</c:v>
                </c:pt>
                <c:pt idx="56">
                  <c:v>78.131428571428742</c:v>
                </c:pt>
                <c:pt idx="57">
                  <c:v>78.405714285714453</c:v>
                </c:pt>
                <c:pt idx="58">
                  <c:v>78.680000000000163</c:v>
                </c:pt>
                <c:pt idx="59">
                  <c:v>78.954285714285874</c:v>
                </c:pt>
                <c:pt idx="60">
                  <c:v>79.228571428571584</c:v>
                </c:pt>
                <c:pt idx="61">
                  <c:v>79.502857142857295</c:v>
                </c:pt>
                <c:pt idx="62">
                  <c:v>79.777142857143005</c:v>
                </c:pt>
                <c:pt idx="63">
                  <c:v>80.051428571428715</c:v>
                </c:pt>
                <c:pt idx="64">
                  <c:v>80.325714285714426</c:v>
                </c:pt>
                <c:pt idx="65">
                  <c:v>80.600000000000136</c:v>
                </c:pt>
                <c:pt idx="66">
                  <c:v>80.874285714285847</c:v>
                </c:pt>
                <c:pt idx="67">
                  <c:v>81.148571428571557</c:v>
                </c:pt>
                <c:pt idx="68">
                  <c:v>81.422857142857268</c:v>
                </c:pt>
                <c:pt idx="69">
                  <c:v>81.697142857142978</c:v>
                </c:pt>
                <c:pt idx="70">
                  <c:v>81.971428571428689</c:v>
                </c:pt>
                <c:pt idx="71">
                  <c:v>82.245714285714399</c:v>
                </c:pt>
                <c:pt idx="72">
                  <c:v>82.52000000000011</c:v>
                </c:pt>
                <c:pt idx="73">
                  <c:v>82.79428571428582</c:v>
                </c:pt>
                <c:pt idx="74">
                  <c:v>83.068571428571531</c:v>
                </c:pt>
                <c:pt idx="75">
                  <c:v>83.342857142857241</c:v>
                </c:pt>
                <c:pt idx="76">
                  <c:v>83.617142857142952</c:v>
                </c:pt>
                <c:pt idx="77">
                  <c:v>83.891428571428662</c:v>
                </c:pt>
                <c:pt idx="78">
                  <c:v>84.165714285714373</c:v>
                </c:pt>
                <c:pt idx="79">
                  <c:v>84.440000000000083</c:v>
                </c:pt>
                <c:pt idx="80">
                  <c:v>84.714285714285793</c:v>
                </c:pt>
                <c:pt idx="81">
                  <c:v>84.988571428571504</c:v>
                </c:pt>
                <c:pt idx="82">
                  <c:v>85.262857142857214</c:v>
                </c:pt>
                <c:pt idx="83">
                  <c:v>85.537142857142925</c:v>
                </c:pt>
                <c:pt idx="84">
                  <c:v>85.811428571428635</c:v>
                </c:pt>
                <c:pt idx="85">
                  <c:v>86.085714285714346</c:v>
                </c:pt>
                <c:pt idx="86">
                  <c:v>86.360000000000056</c:v>
                </c:pt>
                <c:pt idx="87">
                  <c:v>86.634285714285767</c:v>
                </c:pt>
                <c:pt idx="88">
                  <c:v>86.908571428571477</c:v>
                </c:pt>
                <c:pt idx="89">
                  <c:v>87.182857142857188</c:v>
                </c:pt>
                <c:pt idx="90">
                  <c:v>87.457142857142898</c:v>
                </c:pt>
                <c:pt idx="91">
                  <c:v>87.731428571428609</c:v>
                </c:pt>
                <c:pt idx="92">
                  <c:v>88.005714285714319</c:v>
                </c:pt>
                <c:pt idx="93">
                  <c:v>88.28000000000003</c:v>
                </c:pt>
                <c:pt idx="94">
                  <c:v>88.55428571428574</c:v>
                </c:pt>
                <c:pt idx="95">
                  <c:v>88.82857142857145</c:v>
                </c:pt>
                <c:pt idx="96">
                  <c:v>89.102857142857161</c:v>
                </c:pt>
                <c:pt idx="97">
                  <c:v>89.377142857142871</c:v>
                </c:pt>
                <c:pt idx="98">
                  <c:v>89.651428571428582</c:v>
                </c:pt>
                <c:pt idx="99">
                  <c:v>89.925714285714292</c:v>
                </c:pt>
                <c:pt idx="100">
                  <c:v>90.2</c:v>
                </c:pt>
                <c:pt idx="101">
                  <c:v>90.474285714285713</c:v>
                </c:pt>
                <c:pt idx="102">
                  <c:v>90.748571428571424</c:v>
                </c:pt>
                <c:pt idx="103">
                  <c:v>91.022857142857134</c:v>
                </c:pt>
                <c:pt idx="104">
                  <c:v>91.297142857142845</c:v>
                </c:pt>
                <c:pt idx="105">
                  <c:v>91.571428571428555</c:v>
                </c:pt>
                <c:pt idx="106">
                  <c:v>91.845714285714266</c:v>
                </c:pt>
                <c:pt idx="107">
                  <c:v>92.119999999999976</c:v>
                </c:pt>
                <c:pt idx="108">
                  <c:v>92.394285714285687</c:v>
                </c:pt>
                <c:pt idx="109">
                  <c:v>92.668571428571397</c:v>
                </c:pt>
                <c:pt idx="110">
                  <c:v>92.942857142857108</c:v>
                </c:pt>
                <c:pt idx="111">
                  <c:v>93.217142857142818</c:v>
                </c:pt>
                <c:pt idx="112">
                  <c:v>93.491428571428528</c:v>
                </c:pt>
                <c:pt idx="113">
                  <c:v>93.765714285714239</c:v>
                </c:pt>
                <c:pt idx="114">
                  <c:v>94.039999999999949</c:v>
                </c:pt>
                <c:pt idx="115">
                  <c:v>94.31428571428566</c:v>
                </c:pt>
                <c:pt idx="116">
                  <c:v>94.58857142857137</c:v>
                </c:pt>
                <c:pt idx="117">
                  <c:v>94.862857142857081</c:v>
                </c:pt>
                <c:pt idx="118">
                  <c:v>95.137142857142791</c:v>
                </c:pt>
                <c:pt idx="119">
                  <c:v>95.411428571428502</c:v>
                </c:pt>
                <c:pt idx="120">
                  <c:v>95.685714285714212</c:v>
                </c:pt>
                <c:pt idx="121">
                  <c:v>95.959999999999923</c:v>
                </c:pt>
                <c:pt idx="122">
                  <c:v>96.234285714285633</c:v>
                </c:pt>
                <c:pt idx="123">
                  <c:v>96.508571428571344</c:v>
                </c:pt>
                <c:pt idx="124">
                  <c:v>96.782857142857054</c:v>
                </c:pt>
                <c:pt idx="125">
                  <c:v>97.057142857142765</c:v>
                </c:pt>
                <c:pt idx="126">
                  <c:v>97.331428571428475</c:v>
                </c:pt>
                <c:pt idx="127">
                  <c:v>97.605714285714186</c:v>
                </c:pt>
                <c:pt idx="128">
                  <c:v>97.879999999999896</c:v>
                </c:pt>
                <c:pt idx="129">
                  <c:v>98.154285714285606</c:v>
                </c:pt>
                <c:pt idx="130">
                  <c:v>98.428571428571317</c:v>
                </c:pt>
                <c:pt idx="131">
                  <c:v>98.702857142857027</c:v>
                </c:pt>
                <c:pt idx="132">
                  <c:v>98.977142857142738</c:v>
                </c:pt>
                <c:pt idx="133">
                  <c:v>99.251428571428448</c:v>
                </c:pt>
                <c:pt idx="134">
                  <c:v>99.525714285714159</c:v>
                </c:pt>
                <c:pt idx="135">
                  <c:v>99.799999999999869</c:v>
                </c:pt>
                <c:pt idx="136">
                  <c:v>100.07428571428558</c:v>
                </c:pt>
                <c:pt idx="137">
                  <c:v>100.34857142857129</c:v>
                </c:pt>
                <c:pt idx="138">
                  <c:v>100.622857142857</c:v>
                </c:pt>
                <c:pt idx="139">
                  <c:v>100.89714285714271</c:v>
                </c:pt>
                <c:pt idx="140">
                  <c:v>101.17142857142842</c:v>
                </c:pt>
                <c:pt idx="141">
                  <c:v>101.44571428571413</c:v>
                </c:pt>
                <c:pt idx="142">
                  <c:v>101.71999999999984</c:v>
                </c:pt>
                <c:pt idx="143">
                  <c:v>101.99428571428555</c:v>
                </c:pt>
                <c:pt idx="144">
                  <c:v>102.26857142857126</c:v>
                </c:pt>
                <c:pt idx="145">
                  <c:v>102.54285714285697</c:v>
                </c:pt>
                <c:pt idx="146">
                  <c:v>102.81714285714268</c:v>
                </c:pt>
                <c:pt idx="147">
                  <c:v>103.09142857142839</c:v>
                </c:pt>
                <c:pt idx="148">
                  <c:v>103.36571428571411</c:v>
                </c:pt>
                <c:pt idx="149">
                  <c:v>103.63999999999982</c:v>
                </c:pt>
                <c:pt idx="150">
                  <c:v>103.91428571428553</c:v>
                </c:pt>
                <c:pt idx="151">
                  <c:v>104.18857142857124</c:v>
                </c:pt>
                <c:pt idx="152">
                  <c:v>104.46285714285695</c:v>
                </c:pt>
                <c:pt idx="153">
                  <c:v>104.73714285714266</c:v>
                </c:pt>
                <c:pt idx="154">
                  <c:v>105.01142857142837</c:v>
                </c:pt>
                <c:pt idx="155">
                  <c:v>105.28571428571408</c:v>
                </c:pt>
                <c:pt idx="156">
                  <c:v>105.55999999999979</c:v>
                </c:pt>
                <c:pt idx="157">
                  <c:v>105.8342857142855</c:v>
                </c:pt>
                <c:pt idx="158">
                  <c:v>106.10857142857121</c:v>
                </c:pt>
                <c:pt idx="159">
                  <c:v>106.38285714285692</c:v>
                </c:pt>
                <c:pt idx="160">
                  <c:v>106.65714285714263</c:v>
                </c:pt>
                <c:pt idx="161">
                  <c:v>106.93142857142834</c:v>
                </c:pt>
                <c:pt idx="162">
                  <c:v>107.20571428571405</c:v>
                </c:pt>
                <c:pt idx="163">
                  <c:v>107.47999999999976</c:v>
                </c:pt>
                <c:pt idx="164">
                  <c:v>107.75428571428547</c:v>
                </c:pt>
                <c:pt idx="165">
                  <c:v>108.02857142857118</c:v>
                </c:pt>
                <c:pt idx="166">
                  <c:v>108.30285714285689</c:v>
                </c:pt>
                <c:pt idx="167">
                  <c:v>108.5771428571426</c:v>
                </c:pt>
                <c:pt idx="168">
                  <c:v>108.85142857142831</c:v>
                </c:pt>
                <c:pt idx="169">
                  <c:v>109.12571428571403</c:v>
                </c:pt>
                <c:pt idx="170">
                  <c:v>109.39999999999974</c:v>
                </c:pt>
                <c:pt idx="171">
                  <c:v>109.67428571428545</c:v>
                </c:pt>
                <c:pt idx="172">
                  <c:v>109.94857142857116</c:v>
                </c:pt>
                <c:pt idx="173">
                  <c:v>110.22285714285687</c:v>
                </c:pt>
                <c:pt idx="174">
                  <c:v>110.49714285714258</c:v>
                </c:pt>
                <c:pt idx="175">
                  <c:v>110.77142857142829</c:v>
                </c:pt>
                <c:pt idx="176">
                  <c:v>111.045714285714</c:v>
                </c:pt>
                <c:pt idx="177">
                  <c:v>111.31999999999971</c:v>
                </c:pt>
                <c:pt idx="178">
                  <c:v>111.59428571428542</c:v>
                </c:pt>
                <c:pt idx="179">
                  <c:v>111.86857142857113</c:v>
                </c:pt>
                <c:pt idx="180">
                  <c:v>112.14285714285684</c:v>
                </c:pt>
                <c:pt idx="181">
                  <c:v>112.41714285714255</c:v>
                </c:pt>
                <c:pt idx="182">
                  <c:v>112.69142857142826</c:v>
                </c:pt>
                <c:pt idx="183">
                  <c:v>112.96571428571397</c:v>
                </c:pt>
                <c:pt idx="184">
                  <c:v>113.23999999999968</c:v>
                </c:pt>
                <c:pt idx="185">
                  <c:v>113.51428571428539</c:v>
                </c:pt>
                <c:pt idx="186">
                  <c:v>113.7885714285711</c:v>
                </c:pt>
                <c:pt idx="187">
                  <c:v>114.06285714285681</c:v>
                </c:pt>
                <c:pt idx="188">
                  <c:v>114.33714285714252</c:v>
                </c:pt>
                <c:pt idx="189">
                  <c:v>114.61142857142823</c:v>
                </c:pt>
                <c:pt idx="190">
                  <c:v>114.88571428571395</c:v>
                </c:pt>
                <c:pt idx="191">
                  <c:v>115.15999999999966</c:v>
                </c:pt>
                <c:pt idx="192">
                  <c:v>115.43428571428537</c:v>
                </c:pt>
                <c:pt idx="193">
                  <c:v>115.70857142857108</c:v>
                </c:pt>
                <c:pt idx="194">
                  <c:v>115.98285714285679</c:v>
                </c:pt>
                <c:pt idx="195">
                  <c:v>116.2571428571425</c:v>
                </c:pt>
                <c:pt idx="196">
                  <c:v>116.53142857142821</c:v>
                </c:pt>
                <c:pt idx="197">
                  <c:v>116.80571428571392</c:v>
                </c:pt>
                <c:pt idx="198">
                  <c:v>117.07999999999963</c:v>
                </c:pt>
                <c:pt idx="199">
                  <c:v>117.35428571428534</c:v>
                </c:pt>
                <c:pt idx="200">
                  <c:v>117.62857142857105</c:v>
                </c:pt>
              </c:numCache>
            </c:numRef>
          </c:cat>
          <c:val>
            <c:numRef>
              <c:f>'SPERT® 1976-2025'!$HP$9:$PH$9</c:f>
              <c:numCache>
                <c:formatCode>General</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5.8327813931922719E-2</c:v>
                </c:pt>
                <c:pt idx="101">
                  <c:v>5.8027415813982429E-2</c:v>
                </c:pt>
                <c:pt idx="102">
                  <c:v>5.7634716572638127E-2</c:v>
                </c:pt>
                <c:pt idx="103">
                  <c:v>5.7151613340603848E-2</c:v>
                </c:pt>
                <c:pt idx="104">
                  <c:v>5.6580428058581218E-2</c:v>
                </c:pt>
                <c:pt idx="105">
                  <c:v>5.5923888886882371E-2</c:v>
                </c:pt>
                <c:pt idx="106">
                  <c:v>5.518510850322874E-2</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extLst>
            <c:ext xmlns:c16="http://schemas.microsoft.com/office/drawing/2014/chart" uri="{C3380CC4-5D6E-409C-BE32-E72D297353CC}">
              <c16:uniqueId val="{00000001-46EE-4D64-93C3-5CDB585C012C}"/>
            </c:ext>
          </c:extLst>
        </c:ser>
        <c:ser>
          <c:idx val="2"/>
          <c:order val="2"/>
          <c:spPr>
            <a:solidFill>
              <a:schemeClr val="accent2"/>
            </a:solidFill>
            <a:ln>
              <a:noFill/>
            </a:ln>
            <a:effectLst/>
          </c:spPr>
          <c:invertIfNegative val="0"/>
          <c:cat>
            <c:numRef>
              <c:f>'SPERT® 1976-2025'!$W$4:$HO$4</c:f>
              <c:numCache>
                <c:formatCode>#,##0_);\(#,##0\)</c:formatCode>
                <c:ptCount val="201"/>
                <c:pt idx="0">
                  <c:v>62.77142857142892</c:v>
                </c:pt>
                <c:pt idx="1">
                  <c:v>63.045714285714638</c:v>
                </c:pt>
                <c:pt idx="2">
                  <c:v>63.320000000000356</c:v>
                </c:pt>
                <c:pt idx="3">
                  <c:v>63.594285714286073</c:v>
                </c:pt>
                <c:pt idx="4">
                  <c:v>63.868571428571791</c:v>
                </c:pt>
                <c:pt idx="5">
                  <c:v>64.142857142857508</c:v>
                </c:pt>
                <c:pt idx="6">
                  <c:v>64.417142857143219</c:v>
                </c:pt>
                <c:pt idx="7">
                  <c:v>64.691428571428929</c:v>
                </c:pt>
                <c:pt idx="8">
                  <c:v>64.96571428571464</c:v>
                </c:pt>
                <c:pt idx="9">
                  <c:v>65.24000000000035</c:v>
                </c:pt>
                <c:pt idx="10">
                  <c:v>65.514285714286061</c:v>
                </c:pt>
                <c:pt idx="11">
                  <c:v>65.788571428571771</c:v>
                </c:pt>
                <c:pt idx="12">
                  <c:v>66.062857142857482</c:v>
                </c:pt>
                <c:pt idx="13">
                  <c:v>66.337142857143192</c:v>
                </c:pt>
                <c:pt idx="14">
                  <c:v>66.611428571428903</c:v>
                </c:pt>
                <c:pt idx="15">
                  <c:v>66.885714285714613</c:v>
                </c:pt>
                <c:pt idx="16">
                  <c:v>67.160000000000323</c:v>
                </c:pt>
                <c:pt idx="17">
                  <c:v>67.434285714286034</c:v>
                </c:pt>
                <c:pt idx="18">
                  <c:v>67.708571428571744</c:v>
                </c:pt>
                <c:pt idx="19">
                  <c:v>67.982857142857455</c:v>
                </c:pt>
                <c:pt idx="20">
                  <c:v>68.257142857143165</c:v>
                </c:pt>
                <c:pt idx="21">
                  <c:v>68.531428571428876</c:v>
                </c:pt>
                <c:pt idx="22">
                  <c:v>68.805714285714586</c:v>
                </c:pt>
                <c:pt idx="23">
                  <c:v>69.080000000000297</c:v>
                </c:pt>
                <c:pt idx="24">
                  <c:v>69.354285714286007</c:v>
                </c:pt>
                <c:pt idx="25">
                  <c:v>69.628571428571718</c:v>
                </c:pt>
                <c:pt idx="26">
                  <c:v>69.902857142857428</c:v>
                </c:pt>
                <c:pt idx="27">
                  <c:v>70.177142857143139</c:v>
                </c:pt>
                <c:pt idx="28">
                  <c:v>70.451428571428849</c:v>
                </c:pt>
                <c:pt idx="29">
                  <c:v>70.72571428571456</c:v>
                </c:pt>
                <c:pt idx="30">
                  <c:v>71.00000000000027</c:v>
                </c:pt>
                <c:pt idx="31">
                  <c:v>71.27428571428598</c:v>
                </c:pt>
                <c:pt idx="32">
                  <c:v>71.548571428571691</c:v>
                </c:pt>
                <c:pt idx="33">
                  <c:v>71.822857142857401</c:v>
                </c:pt>
                <c:pt idx="34">
                  <c:v>72.097142857143112</c:v>
                </c:pt>
                <c:pt idx="35">
                  <c:v>72.371428571428822</c:v>
                </c:pt>
                <c:pt idx="36">
                  <c:v>72.645714285714533</c:v>
                </c:pt>
                <c:pt idx="37">
                  <c:v>72.920000000000243</c:v>
                </c:pt>
                <c:pt idx="38">
                  <c:v>73.194285714285954</c:v>
                </c:pt>
                <c:pt idx="39">
                  <c:v>73.468571428571664</c:v>
                </c:pt>
                <c:pt idx="40">
                  <c:v>73.742857142857375</c:v>
                </c:pt>
                <c:pt idx="41">
                  <c:v>74.017142857143085</c:v>
                </c:pt>
                <c:pt idx="42">
                  <c:v>74.291428571428796</c:v>
                </c:pt>
                <c:pt idx="43">
                  <c:v>74.565714285714506</c:v>
                </c:pt>
                <c:pt idx="44">
                  <c:v>74.840000000000217</c:v>
                </c:pt>
                <c:pt idx="45">
                  <c:v>75.114285714285927</c:v>
                </c:pt>
                <c:pt idx="46">
                  <c:v>75.388571428571638</c:v>
                </c:pt>
                <c:pt idx="47">
                  <c:v>75.662857142857348</c:v>
                </c:pt>
                <c:pt idx="48">
                  <c:v>75.937142857143058</c:v>
                </c:pt>
                <c:pt idx="49">
                  <c:v>76.211428571428769</c:v>
                </c:pt>
                <c:pt idx="50">
                  <c:v>76.485714285714479</c:v>
                </c:pt>
                <c:pt idx="51">
                  <c:v>76.76000000000019</c:v>
                </c:pt>
                <c:pt idx="52">
                  <c:v>77.0342857142859</c:v>
                </c:pt>
                <c:pt idx="53">
                  <c:v>77.308571428571611</c:v>
                </c:pt>
                <c:pt idx="54">
                  <c:v>77.582857142857321</c:v>
                </c:pt>
                <c:pt idx="55">
                  <c:v>77.857142857143032</c:v>
                </c:pt>
                <c:pt idx="56">
                  <c:v>78.131428571428742</c:v>
                </c:pt>
                <c:pt idx="57">
                  <c:v>78.405714285714453</c:v>
                </c:pt>
                <c:pt idx="58">
                  <c:v>78.680000000000163</c:v>
                </c:pt>
                <c:pt idx="59">
                  <c:v>78.954285714285874</c:v>
                </c:pt>
                <c:pt idx="60">
                  <c:v>79.228571428571584</c:v>
                </c:pt>
                <c:pt idx="61">
                  <c:v>79.502857142857295</c:v>
                </c:pt>
                <c:pt idx="62">
                  <c:v>79.777142857143005</c:v>
                </c:pt>
                <c:pt idx="63">
                  <c:v>80.051428571428715</c:v>
                </c:pt>
                <c:pt idx="64">
                  <c:v>80.325714285714426</c:v>
                </c:pt>
                <c:pt idx="65">
                  <c:v>80.600000000000136</c:v>
                </c:pt>
                <c:pt idx="66">
                  <c:v>80.874285714285847</c:v>
                </c:pt>
                <c:pt idx="67">
                  <c:v>81.148571428571557</c:v>
                </c:pt>
                <c:pt idx="68">
                  <c:v>81.422857142857268</c:v>
                </c:pt>
                <c:pt idx="69">
                  <c:v>81.697142857142978</c:v>
                </c:pt>
                <c:pt idx="70">
                  <c:v>81.971428571428689</c:v>
                </c:pt>
                <c:pt idx="71">
                  <c:v>82.245714285714399</c:v>
                </c:pt>
                <c:pt idx="72">
                  <c:v>82.52000000000011</c:v>
                </c:pt>
                <c:pt idx="73">
                  <c:v>82.79428571428582</c:v>
                </c:pt>
                <c:pt idx="74">
                  <c:v>83.068571428571531</c:v>
                </c:pt>
                <c:pt idx="75">
                  <c:v>83.342857142857241</c:v>
                </c:pt>
                <c:pt idx="76">
                  <c:v>83.617142857142952</c:v>
                </c:pt>
                <c:pt idx="77">
                  <c:v>83.891428571428662</c:v>
                </c:pt>
                <c:pt idx="78">
                  <c:v>84.165714285714373</c:v>
                </c:pt>
                <c:pt idx="79">
                  <c:v>84.440000000000083</c:v>
                </c:pt>
                <c:pt idx="80">
                  <c:v>84.714285714285793</c:v>
                </c:pt>
                <c:pt idx="81">
                  <c:v>84.988571428571504</c:v>
                </c:pt>
                <c:pt idx="82">
                  <c:v>85.262857142857214</c:v>
                </c:pt>
                <c:pt idx="83">
                  <c:v>85.537142857142925</c:v>
                </c:pt>
                <c:pt idx="84">
                  <c:v>85.811428571428635</c:v>
                </c:pt>
                <c:pt idx="85">
                  <c:v>86.085714285714346</c:v>
                </c:pt>
                <c:pt idx="86">
                  <c:v>86.360000000000056</c:v>
                </c:pt>
                <c:pt idx="87">
                  <c:v>86.634285714285767</c:v>
                </c:pt>
                <c:pt idx="88">
                  <c:v>86.908571428571477</c:v>
                </c:pt>
                <c:pt idx="89">
                  <c:v>87.182857142857188</c:v>
                </c:pt>
                <c:pt idx="90">
                  <c:v>87.457142857142898</c:v>
                </c:pt>
                <c:pt idx="91">
                  <c:v>87.731428571428609</c:v>
                </c:pt>
                <c:pt idx="92">
                  <c:v>88.005714285714319</c:v>
                </c:pt>
                <c:pt idx="93">
                  <c:v>88.28000000000003</c:v>
                </c:pt>
                <c:pt idx="94">
                  <c:v>88.55428571428574</c:v>
                </c:pt>
                <c:pt idx="95">
                  <c:v>88.82857142857145</c:v>
                </c:pt>
                <c:pt idx="96">
                  <c:v>89.102857142857161</c:v>
                </c:pt>
                <c:pt idx="97">
                  <c:v>89.377142857142871</c:v>
                </c:pt>
                <c:pt idx="98">
                  <c:v>89.651428571428582</c:v>
                </c:pt>
                <c:pt idx="99">
                  <c:v>89.925714285714292</c:v>
                </c:pt>
                <c:pt idx="100">
                  <c:v>90.2</c:v>
                </c:pt>
                <c:pt idx="101">
                  <c:v>90.474285714285713</c:v>
                </c:pt>
                <c:pt idx="102">
                  <c:v>90.748571428571424</c:v>
                </c:pt>
                <c:pt idx="103">
                  <c:v>91.022857142857134</c:v>
                </c:pt>
                <c:pt idx="104">
                  <c:v>91.297142857142845</c:v>
                </c:pt>
                <c:pt idx="105">
                  <c:v>91.571428571428555</c:v>
                </c:pt>
                <c:pt idx="106">
                  <c:v>91.845714285714266</c:v>
                </c:pt>
                <c:pt idx="107">
                  <c:v>92.119999999999976</c:v>
                </c:pt>
                <c:pt idx="108">
                  <c:v>92.394285714285687</c:v>
                </c:pt>
                <c:pt idx="109">
                  <c:v>92.668571428571397</c:v>
                </c:pt>
                <c:pt idx="110">
                  <c:v>92.942857142857108</c:v>
                </c:pt>
                <c:pt idx="111">
                  <c:v>93.217142857142818</c:v>
                </c:pt>
                <c:pt idx="112">
                  <c:v>93.491428571428528</c:v>
                </c:pt>
                <c:pt idx="113">
                  <c:v>93.765714285714239</c:v>
                </c:pt>
                <c:pt idx="114">
                  <c:v>94.039999999999949</c:v>
                </c:pt>
                <c:pt idx="115">
                  <c:v>94.31428571428566</c:v>
                </c:pt>
                <c:pt idx="116">
                  <c:v>94.58857142857137</c:v>
                </c:pt>
                <c:pt idx="117">
                  <c:v>94.862857142857081</c:v>
                </c:pt>
                <c:pt idx="118">
                  <c:v>95.137142857142791</c:v>
                </c:pt>
                <c:pt idx="119">
                  <c:v>95.411428571428502</c:v>
                </c:pt>
                <c:pt idx="120">
                  <c:v>95.685714285714212</c:v>
                </c:pt>
                <c:pt idx="121">
                  <c:v>95.959999999999923</c:v>
                </c:pt>
                <c:pt idx="122">
                  <c:v>96.234285714285633</c:v>
                </c:pt>
                <c:pt idx="123">
                  <c:v>96.508571428571344</c:v>
                </c:pt>
                <c:pt idx="124">
                  <c:v>96.782857142857054</c:v>
                </c:pt>
                <c:pt idx="125">
                  <c:v>97.057142857142765</c:v>
                </c:pt>
                <c:pt idx="126">
                  <c:v>97.331428571428475</c:v>
                </c:pt>
                <c:pt idx="127">
                  <c:v>97.605714285714186</c:v>
                </c:pt>
                <c:pt idx="128">
                  <c:v>97.879999999999896</c:v>
                </c:pt>
                <c:pt idx="129">
                  <c:v>98.154285714285606</c:v>
                </c:pt>
                <c:pt idx="130">
                  <c:v>98.428571428571317</c:v>
                </c:pt>
                <c:pt idx="131">
                  <c:v>98.702857142857027</c:v>
                </c:pt>
                <c:pt idx="132">
                  <c:v>98.977142857142738</c:v>
                </c:pt>
                <c:pt idx="133">
                  <c:v>99.251428571428448</c:v>
                </c:pt>
                <c:pt idx="134">
                  <c:v>99.525714285714159</c:v>
                </c:pt>
                <c:pt idx="135">
                  <c:v>99.799999999999869</c:v>
                </c:pt>
                <c:pt idx="136">
                  <c:v>100.07428571428558</c:v>
                </c:pt>
                <c:pt idx="137">
                  <c:v>100.34857142857129</c:v>
                </c:pt>
                <c:pt idx="138">
                  <c:v>100.622857142857</c:v>
                </c:pt>
                <c:pt idx="139">
                  <c:v>100.89714285714271</c:v>
                </c:pt>
                <c:pt idx="140">
                  <c:v>101.17142857142842</c:v>
                </c:pt>
                <c:pt idx="141">
                  <c:v>101.44571428571413</c:v>
                </c:pt>
                <c:pt idx="142">
                  <c:v>101.71999999999984</c:v>
                </c:pt>
                <c:pt idx="143">
                  <c:v>101.99428571428555</c:v>
                </c:pt>
                <c:pt idx="144">
                  <c:v>102.26857142857126</c:v>
                </c:pt>
                <c:pt idx="145">
                  <c:v>102.54285714285697</c:v>
                </c:pt>
                <c:pt idx="146">
                  <c:v>102.81714285714268</c:v>
                </c:pt>
                <c:pt idx="147">
                  <c:v>103.09142857142839</c:v>
                </c:pt>
                <c:pt idx="148">
                  <c:v>103.36571428571411</c:v>
                </c:pt>
                <c:pt idx="149">
                  <c:v>103.63999999999982</c:v>
                </c:pt>
                <c:pt idx="150">
                  <c:v>103.91428571428553</c:v>
                </c:pt>
                <c:pt idx="151">
                  <c:v>104.18857142857124</c:v>
                </c:pt>
                <c:pt idx="152">
                  <c:v>104.46285714285695</c:v>
                </c:pt>
                <c:pt idx="153">
                  <c:v>104.73714285714266</c:v>
                </c:pt>
                <c:pt idx="154">
                  <c:v>105.01142857142837</c:v>
                </c:pt>
                <c:pt idx="155">
                  <c:v>105.28571428571408</c:v>
                </c:pt>
                <c:pt idx="156">
                  <c:v>105.55999999999979</c:v>
                </c:pt>
                <c:pt idx="157">
                  <c:v>105.8342857142855</c:v>
                </c:pt>
                <c:pt idx="158">
                  <c:v>106.10857142857121</c:v>
                </c:pt>
                <c:pt idx="159">
                  <c:v>106.38285714285692</c:v>
                </c:pt>
                <c:pt idx="160">
                  <c:v>106.65714285714263</c:v>
                </c:pt>
                <c:pt idx="161">
                  <c:v>106.93142857142834</c:v>
                </c:pt>
                <c:pt idx="162">
                  <c:v>107.20571428571405</c:v>
                </c:pt>
                <c:pt idx="163">
                  <c:v>107.47999999999976</c:v>
                </c:pt>
                <c:pt idx="164">
                  <c:v>107.75428571428547</c:v>
                </c:pt>
                <c:pt idx="165">
                  <c:v>108.02857142857118</c:v>
                </c:pt>
                <c:pt idx="166">
                  <c:v>108.30285714285689</c:v>
                </c:pt>
                <c:pt idx="167">
                  <c:v>108.5771428571426</c:v>
                </c:pt>
                <c:pt idx="168">
                  <c:v>108.85142857142831</c:v>
                </c:pt>
                <c:pt idx="169">
                  <c:v>109.12571428571403</c:v>
                </c:pt>
                <c:pt idx="170">
                  <c:v>109.39999999999974</c:v>
                </c:pt>
                <c:pt idx="171">
                  <c:v>109.67428571428545</c:v>
                </c:pt>
                <c:pt idx="172">
                  <c:v>109.94857142857116</c:v>
                </c:pt>
                <c:pt idx="173">
                  <c:v>110.22285714285687</c:v>
                </c:pt>
                <c:pt idx="174">
                  <c:v>110.49714285714258</c:v>
                </c:pt>
                <c:pt idx="175">
                  <c:v>110.77142857142829</c:v>
                </c:pt>
                <c:pt idx="176">
                  <c:v>111.045714285714</c:v>
                </c:pt>
                <c:pt idx="177">
                  <c:v>111.31999999999971</c:v>
                </c:pt>
                <c:pt idx="178">
                  <c:v>111.59428571428542</c:v>
                </c:pt>
                <c:pt idx="179">
                  <c:v>111.86857142857113</c:v>
                </c:pt>
                <c:pt idx="180">
                  <c:v>112.14285714285684</c:v>
                </c:pt>
                <c:pt idx="181">
                  <c:v>112.41714285714255</c:v>
                </c:pt>
                <c:pt idx="182">
                  <c:v>112.69142857142826</c:v>
                </c:pt>
                <c:pt idx="183">
                  <c:v>112.96571428571397</c:v>
                </c:pt>
                <c:pt idx="184">
                  <c:v>113.23999999999968</c:v>
                </c:pt>
                <c:pt idx="185">
                  <c:v>113.51428571428539</c:v>
                </c:pt>
                <c:pt idx="186">
                  <c:v>113.7885714285711</c:v>
                </c:pt>
                <c:pt idx="187">
                  <c:v>114.06285714285681</c:v>
                </c:pt>
                <c:pt idx="188">
                  <c:v>114.33714285714252</c:v>
                </c:pt>
                <c:pt idx="189">
                  <c:v>114.61142857142823</c:v>
                </c:pt>
                <c:pt idx="190">
                  <c:v>114.88571428571395</c:v>
                </c:pt>
                <c:pt idx="191">
                  <c:v>115.15999999999966</c:v>
                </c:pt>
                <c:pt idx="192">
                  <c:v>115.43428571428537</c:v>
                </c:pt>
                <c:pt idx="193">
                  <c:v>115.70857142857108</c:v>
                </c:pt>
                <c:pt idx="194">
                  <c:v>115.98285714285679</c:v>
                </c:pt>
                <c:pt idx="195">
                  <c:v>116.2571428571425</c:v>
                </c:pt>
                <c:pt idx="196">
                  <c:v>116.53142857142821</c:v>
                </c:pt>
                <c:pt idx="197">
                  <c:v>116.80571428571392</c:v>
                </c:pt>
                <c:pt idx="198">
                  <c:v>117.07999999999963</c:v>
                </c:pt>
                <c:pt idx="199">
                  <c:v>117.35428571428534</c:v>
                </c:pt>
                <c:pt idx="200">
                  <c:v>117.62857142857105</c:v>
                </c:pt>
              </c:numCache>
            </c:numRef>
          </c:cat>
          <c:val>
            <c:numRef>
              <c:f>'SPERT® 1976-2025'!$HP$10:$PH$10</c:f>
              <c:numCache>
                <c:formatCode>General</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5.436755952824724E-2</c:v>
                </c:pt>
                <c:pt idx="108">
                  <c:v>5.3475047350050139E-2</c:v>
                </c:pt>
                <c:pt idx="109">
                  <c:v>5.2511680645298077E-2</c:v>
                </c:pt>
                <c:pt idx="110">
                  <c:v>5.1481839915981036E-2</c:v>
                </c:pt>
                <c:pt idx="111">
                  <c:v>5.0390144378547663E-2</c:v>
                </c:pt>
                <c:pt idx="112">
                  <c:v>4.9241417554789266E-2</c:v>
                </c:pt>
                <c:pt idx="113">
                  <c:v>4.8040651921933825E-2</c:v>
                </c:pt>
                <c:pt idx="114">
                  <c:v>4.6792972982700437E-2</c:v>
                </c:pt>
                <c:pt idx="115">
                  <c:v>4.5503603114655122E-2</c:v>
                </c:pt>
                <c:pt idx="116">
                  <c:v>4.4177825552218171E-2</c:v>
                </c:pt>
                <c:pt idx="117">
                  <c:v>4.2820948844296179E-2</c:v>
                </c:pt>
                <c:pt idx="118">
                  <c:v>4.1438272116007875E-2</c:v>
                </c:pt>
                <c:pt idx="119">
                  <c:v>4.0035051444661927E-2</c:v>
                </c:pt>
                <c:pt idx="120">
                  <c:v>3.8616467638397642E-2</c:v>
                </c:pt>
                <c:pt idx="121">
                  <c:v>3.7187595681132259E-2</c:v>
                </c:pt>
                <c:pt idx="122">
                  <c:v>3.5753376080121732E-2</c:v>
                </c:pt>
                <c:pt idx="123">
                  <c:v>3.431858832301328E-2</c:v>
                </c:pt>
                <c:pt idx="124">
                  <c:v>3.2887826620242838E-2</c:v>
                </c:pt>
                <c:pt idx="125">
                  <c:v>3.1465478076510026E-2</c:v>
                </c:pt>
                <c:pt idx="126">
                  <c:v>3.0055703402350992E-2</c:v>
                </c:pt>
                <c:pt idx="127">
                  <c:v>2.8662420244014872E-2</c:v>
                </c:pt>
                <c:pt idx="128">
                  <c:v>2.7289289177408398E-2</c:v>
                </c:pt>
                <c:pt idx="129">
                  <c:v>2.5939702380250982E-2</c:v>
                </c:pt>
                <c:pt idx="130">
                  <c:v>2.4616774966197387E-2</c:v>
                </c:pt>
                <c:pt idx="131">
                  <c:v>2.3323338935911923E-2</c:v>
                </c:pt>
                <c:pt idx="132">
                  <c:v>2.2061939673253067E-2</c:v>
                </c:pt>
                <c:pt idx="133">
                  <c:v>2.0834834890136922E-2</c:v>
                </c:pt>
                <c:pt idx="134">
                  <c:v>1.9643995901530657E-2</c:v>
                </c:pt>
                <c:pt idx="135">
                  <c:v>1.8491111092568881E-2</c:v>
                </c:pt>
                <c:pt idx="136">
                  <c:v>1.7377591423122982E-2</c:v>
                </c:pt>
                <c:pt idx="137">
                  <c:v>1.6304577801367841E-2</c:v>
                </c:pt>
                <c:pt idx="138">
                  <c:v>1.5272950147016993E-2</c:v>
                </c:pt>
                <c:pt idx="139">
                  <c:v>1.4283337956920751E-2</c:v>
                </c:pt>
                <c:pt idx="140">
                  <c:v>1.3336132180584017E-2</c:v>
                </c:pt>
                <c:pt idx="141">
                  <c:v>1.2431498210760179E-2</c:v>
                </c:pt>
                <c:pt idx="142">
                  <c:v>1.156938979447918E-2</c:v>
                </c:pt>
                <c:pt idx="143">
                  <c:v>1.0749563672500404E-2</c:v>
                </c:pt>
                <c:pt idx="144">
                  <c:v>9.9715947600500197E-3</c:v>
                </c:pt>
                <c:pt idx="145">
                  <c:v>9.2348916885876681E-3</c:v>
                </c:pt>
                <c:pt idx="146">
                  <c:v>8.538712537014952E-3</c:v>
                </c:pt>
                <c:pt idx="147">
                  <c:v>7.8821805909402003E-3</c:v>
                </c:pt>
                <c:pt idx="148">
                  <c:v>7.2642999800978623E-3</c:v>
                </c:pt>
                <c:pt idx="149">
                  <c:v>6.6839710565306217E-3</c:v>
                </c:pt>
                <c:pt idx="150">
                  <c:v>6.1400053894268168E-3</c:v>
                </c:pt>
                <c:pt idx="151">
                  <c:v>5.631140266317944E-3</c:v>
                </c:pt>
                <c:pt idx="152">
                  <c:v>5.15605260444794E-3</c:v>
                </c:pt>
                <c:pt idx="153">
                  <c:v>4.7133721903049883E-3</c:v>
                </c:pt>
                <c:pt idx="154">
                  <c:v>4.3016941793543022E-3</c:v>
                </c:pt>
                <c:pt idx="155">
                  <c:v>3.9195908017404524E-3</c:v>
                </c:pt>
                <c:pt idx="156">
                  <c:v>3.5656222329748587E-3</c:v>
                </c:pt>
                <c:pt idx="157">
                  <c:v>3.2383466012439791E-3</c:v>
                </c:pt>
                <c:pt idx="158">
                  <c:v>2.9363291148446448E-3</c:v>
                </c:pt>
                <c:pt idx="159">
                  <c:v>2.6581503042750424E-3</c:v>
                </c:pt>
                <c:pt idx="160">
                  <c:v>2.4024133836052929E-3</c:v>
                </c:pt>
                <c:pt idx="161">
                  <c:v>2.1677507448642375E-3</c:v>
                </c:pt>
                <c:pt idx="162">
                  <c:v>1.9528296072725913E-3</c:v>
                </c:pt>
                <c:pt idx="163">
                  <c:v>1.7563568502105618E-3</c:v>
                </c:pt>
                <c:pt idx="164">
                  <c:v>1.577083064830623E-3</c:v>
                </c:pt>
                <c:pt idx="165">
                  <c:v>1.4138058642303327E-3</c:v>
                </c:pt>
                <c:pt idx="166">
                  <c:v>1.2653724961163789E-3</c:v>
                </c:pt>
                <c:pt idx="167">
                  <c:v>1.1306818049623523E-3</c:v>
                </c:pt>
                <c:pt idx="168">
                  <c:v>1.0086855928422092E-3</c:v>
                </c:pt>
                <c:pt idx="169">
                  <c:v>8.9838942947035628E-4</c:v>
                </c:pt>
                <c:pt idx="170">
                  <c:v>7.9885296256565193E-4</c:v>
                </c:pt>
                <c:pt idx="171">
                  <c:v>7.0918977955275486E-4</c:v>
                </c:pt>
                <c:pt idx="172">
                  <c:v>6.2856687089550643E-4</c:v>
                </c:pt>
                <c:pt idx="173">
                  <c:v>5.5620374410002716E-4</c:v>
                </c:pt>
                <c:pt idx="174">
                  <c:v>4.9137123570644752E-4</c:v>
                </c:pt>
                <c:pt idx="175">
                  <c:v>4.3339006648279255E-4</c:v>
                </c:pt>
                <c:pt idx="176">
                  <c:v>3.8162918261512579E-4</c:v>
                </c:pt>
                <c:pt idx="177">
                  <c:v>3.3550392302373878E-4</c:v>
                </c:pt>
                <c:pt idx="178">
                  <c:v>2.9447405009096293E-4</c:v>
                </c:pt>
                <c:pt idx="179">
                  <c:v>2.5804167812217292E-4</c:v>
                </c:pt>
                <c:pt idx="180">
                  <c:v>2.2574913083262742E-4</c:v>
                </c:pt>
                <c:pt idx="181">
                  <c:v>1.9717675610828281E-4</c:v>
                </c:pt>
                <c:pt idx="182">
                  <c:v>1.719407232722018E-4</c:v>
                </c:pt>
                <c:pt idx="183">
                  <c:v>1.4969082513754055E-4</c:v>
                </c:pt>
                <c:pt idx="184">
                  <c:v>1.301083042754686E-4</c:v>
                </c:pt>
                <c:pt idx="185">
                  <c:v>1.1290372019845632E-4</c:v>
                </c:pt>
                <c:pt idx="186">
                  <c:v>9.7814871577527946E-5</c:v>
                </c:pt>
                <c:pt idx="187">
                  <c:v>8.4604785192787883E-5</c:v>
                </c:pt>
                <c:pt idx="188">
                  <c:v>7.3059781071638499E-5</c:v>
                </c:pt>
                <c:pt idx="189">
                  <c:v>6.2987621206293083E-5</c:v>
                </c:pt>
                <c:pt idx="190">
                  <c:v>5.421574736534685E-5</c:v>
                </c:pt>
                <c:pt idx="191">
                  <c:v>4.6589611823879094E-5</c:v>
                </c:pt>
                <c:pt idx="192">
                  <c:v>3.9971103330492384E-5</c:v>
                </c:pt>
                <c:pt idx="193">
                  <c:v>3.4237069303066742E-5</c:v>
                </c:pt>
                <c:pt idx="194">
                  <c:v>2.9277934090980052E-5</c:v>
                </c:pt>
                <c:pt idx="195">
                  <c:v>2.4996412151645843E-5</c:v>
                </c:pt>
                <c:pt idx="196">
                  <c:v>2.1306314153669125E-5</c:v>
                </c:pt>
                <c:pt idx="197">
                  <c:v>1.8131443327035387E-5</c:v>
                </c:pt>
                <c:pt idx="198">
                  <c:v>1.5404578821190045E-5</c:v>
                </c:pt>
                <c:pt idx="199">
                  <c:v>1.3066542392966041E-5</c:v>
                </c:pt>
                <c:pt idx="200">
                  <c:v>1.1065344416292073E-5</c:v>
                </c:pt>
              </c:numCache>
            </c:numRef>
          </c:val>
          <c:extLst>
            <c:ext xmlns:c16="http://schemas.microsoft.com/office/drawing/2014/chart" uri="{C3380CC4-5D6E-409C-BE32-E72D297353CC}">
              <c16:uniqueId val="{00000002-46EE-4D64-93C3-5CDB585C012C}"/>
            </c:ext>
          </c:extLst>
        </c:ser>
        <c:dLbls>
          <c:showLegendKey val="0"/>
          <c:showVal val="0"/>
          <c:showCatName val="0"/>
          <c:showSerName val="0"/>
          <c:showPercent val="0"/>
          <c:showBubbleSize val="0"/>
        </c:dLbls>
        <c:gapWidth val="0"/>
        <c:overlap val="100"/>
        <c:axId val="613283808"/>
        <c:axId val="613280200"/>
      </c:barChart>
      <c:lineChart>
        <c:grouping val="standard"/>
        <c:varyColors val="0"/>
        <c:ser>
          <c:idx val="3"/>
          <c:order val="3"/>
          <c:spPr>
            <a:ln w="50800" cap="rnd">
              <a:solidFill>
                <a:schemeClr val="tx1">
                  <a:lumMod val="50000"/>
                  <a:lumOff val="50000"/>
                </a:schemeClr>
              </a:solidFill>
              <a:round/>
            </a:ln>
            <a:effectLst/>
          </c:spPr>
          <c:marker>
            <c:symbol val="none"/>
          </c:marker>
          <c:cat>
            <c:numRef>
              <c:f>'SPERT® 1976-2025'!$W$4:$DS$4</c:f>
              <c:numCache>
                <c:formatCode>#,##0_);\(#,##0\)</c:formatCode>
                <c:ptCount val="101"/>
                <c:pt idx="0">
                  <c:v>62.77142857142892</c:v>
                </c:pt>
                <c:pt idx="1">
                  <c:v>63.045714285714638</c:v>
                </c:pt>
                <c:pt idx="2">
                  <c:v>63.320000000000356</c:v>
                </c:pt>
                <c:pt idx="3">
                  <c:v>63.594285714286073</c:v>
                </c:pt>
                <c:pt idx="4">
                  <c:v>63.868571428571791</c:v>
                </c:pt>
                <c:pt idx="5">
                  <c:v>64.142857142857508</c:v>
                </c:pt>
                <c:pt idx="6">
                  <c:v>64.417142857143219</c:v>
                </c:pt>
                <c:pt idx="7">
                  <c:v>64.691428571428929</c:v>
                </c:pt>
                <c:pt idx="8">
                  <c:v>64.96571428571464</c:v>
                </c:pt>
                <c:pt idx="9">
                  <c:v>65.24000000000035</c:v>
                </c:pt>
                <c:pt idx="10">
                  <c:v>65.514285714286061</c:v>
                </c:pt>
                <c:pt idx="11">
                  <c:v>65.788571428571771</c:v>
                </c:pt>
                <c:pt idx="12">
                  <c:v>66.062857142857482</c:v>
                </c:pt>
                <c:pt idx="13">
                  <c:v>66.337142857143192</c:v>
                </c:pt>
                <c:pt idx="14">
                  <c:v>66.611428571428903</c:v>
                </c:pt>
                <c:pt idx="15">
                  <c:v>66.885714285714613</c:v>
                </c:pt>
                <c:pt idx="16">
                  <c:v>67.160000000000323</c:v>
                </c:pt>
                <c:pt idx="17">
                  <c:v>67.434285714286034</c:v>
                </c:pt>
                <c:pt idx="18">
                  <c:v>67.708571428571744</c:v>
                </c:pt>
                <c:pt idx="19">
                  <c:v>67.982857142857455</c:v>
                </c:pt>
                <c:pt idx="20">
                  <c:v>68.257142857143165</c:v>
                </c:pt>
                <c:pt idx="21">
                  <c:v>68.531428571428876</c:v>
                </c:pt>
                <c:pt idx="22">
                  <c:v>68.805714285714586</c:v>
                </c:pt>
                <c:pt idx="23">
                  <c:v>69.080000000000297</c:v>
                </c:pt>
                <c:pt idx="24">
                  <c:v>69.354285714286007</c:v>
                </c:pt>
                <c:pt idx="25">
                  <c:v>69.628571428571718</c:v>
                </c:pt>
                <c:pt idx="26">
                  <c:v>69.902857142857428</c:v>
                </c:pt>
                <c:pt idx="27">
                  <c:v>70.177142857143139</c:v>
                </c:pt>
                <c:pt idx="28">
                  <c:v>70.451428571428849</c:v>
                </c:pt>
                <c:pt idx="29">
                  <c:v>70.72571428571456</c:v>
                </c:pt>
                <c:pt idx="30">
                  <c:v>71.00000000000027</c:v>
                </c:pt>
                <c:pt idx="31">
                  <c:v>71.27428571428598</c:v>
                </c:pt>
                <c:pt idx="32">
                  <c:v>71.548571428571691</c:v>
                </c:pt>
                <c:pt idx="33">
                  <c:v>71.822857142857401</c:v>
                </c:pt>
                <c:pt idx="34">
                  <c:v>72.097142857143112</c:v>
                </c:pt>
                <c:pt idx="35">
                  <c:v>72.371428571428822</c:v>
                </c:pt>
                <c:pt idx="36">
                  <c:v>72.645714285714533</c:v>
                </c:pt>
                <c:pt idx="37">
                  <c:v>72.920000000000243</c:v>
                </c:pt>
                <c:pt idx="38">
                  <c:v>73.194285714285954</c:v>
                </c:pt>
                <c:pt idx="39">
                  <c:v>73.468571428571664</c:v>
                </c:pt>
                <c:pt idx="40">
                  <c:v>73.742857142857375</c:v>
                </c:pt>
                <c:pt idx="41">
                  <c:v>74.017142857143085</c:v>
                </c:pt>
                <c:pt idx="42">
                  <c:v>74.291428571428796</c:v>
                </c:pt>
                <c:pt idx="43">
                  <c:v>74.565714285714506</c:v>
                </c:pt>
                <c:pt idx="44">
                  <c:v>74.840000000000217</c:v>
                </c:pt>
                <c:pt idx="45">
                  <c:v>75.114285714285927</c:v>
                </c:pt>
                <c:pt idx="46">
                  <c:v>75.388571428571638</c:v>
                </c:pt>
                <c:pt idx="47">
                  <c:v>75.662857142857348</c:v>
                </c:pt>
                <c:pt idx="48">
                  <c:v>75.937142857143058</c:v>
                </c:pt>
                <c:pt idx="49">
                  <c:v>76.211428571428769</c:v>
                </c:pt>
                <c:pt idx="50">
                  <c:v>76.485714285714479</c:v>
                </c:pt>
                <c:pt idx="51">
                  <c:v>76.76000000000019</c:v>
                </c:pt>
                <c:pt idx="52">
                  <c:v>77.0342857142859</c:v>
                </c:pt>
                <c:pt idx="53">
                  <c:v>77.308571428571611</c:v>
                </c:pt>
                <c:pt idx="54">
                  <c:v>77.582857142857321</c:v>
                </c:pt>
                <c:pt idx="55">
                  <c:v>77.857142857143032</c:v>
                </c:pt>
                <c:pt idx="56">
                  <c:v>78.131428571428742</c:v>
                </c:pt>
                <c:pt idx="57">
                  <c:v>78.405714285714453</c:v>
                </c:pt>
                <c:pt idx="58">
                  <c:v>78.680000000000163</c:v>
                </c:pt>
                <c:pt idx="59">
                  <c:v>78.954285714285874</c:v>
                </c:pt>
                <c:pt idx="60">
                  <c:v>79.228571428571584</c:v>
                </c:pt>
                <c:pt idx="61">
                  <c:v>79.502857142857295</c:v>
                </c:pt>
                <c:pt idx="62">
                  <c:v>79.777142857143005</c:v>
                </c:pt>
                <c:pt idx="63">
                  <c:v>80.051428571428715</c:v>
                </c:pt>
                <c:pt idx="64">
                  <c:v>80.325714285714426</c:v>
                </c:pt>
                <c:pt idx="65">
                  <c:v>80.600000000000136</c:v>
                </c:pt>
                <c:pt idx="66">
                  <c:v>80.874285714285847</c:v>
                </c:pt>
                <c:pt idx="67">
                  <c:v>81.148571428571557</c:v>
                </c:pt>
                <c:pt idx="68">
                  <c:v>81.422857142857268</c:v>
                </c:pt>
                <c:pt idx="69">
                  <c:v>81.697142857142978</c:v>
                </c:pt>
                <c:pt idx="70">
                  <c:v>81.971428571428689</c:v>
                </c:pt>
                <c:pt idx="71">
                  <c:v>82.245714285714399</c:v>
                </c:pt>
                <c:pt idx="72">
                  <c:v>82.52000000000011</c:v>
                </c:pt>
                <c:pt idx="73">
                  <c:v>82.79428571428582</c:v>
                </c:pt>
                <c:pt idx="74">
                  <c:v>83.068571428571531</c:v>
                </c:pt>
                <c:pt idx="75">
                  <c:v>83.342857142857241</c:v>
                </c:pt>
                <c:pt idx="76">
                  <c:v>83.617142857142952</c:v>
                </c:pt>
                <c:pt idx="77">
                  <c:v>83.891428571428662</c:v>
                </c:pt>
                <c:pt idx="78">
                  <c:v>84.165714285714373</c:v>
                </c:pt>
                <c:pt idx="79">
                  <c:v>84.440000000000083</c:v>
                </c:pt>
                <c:pt idx="80">
                  <c:v>84.714285714285793</c:v>
                </c:pt>
                <c:pt idx="81">
                  <c:v>84.988571428571504</c:v>
                </c:pt>
                <c:pt idx="82">
                  <c:v>85.262857142857214</c:v>
                </c:pt>
                <c:pt idx="83">
                  <c:v>85.537142857142925</c:v>
                </c:pt>
                <c:pt idx="84">
                  <c:v>85.811428571428635</c:v>
                </c:pt>
                <c:pt idx="85">
                  <c:v>86.085714285714346</c:v>
                </c:pt>
                <c:pt idx="86">
                  <c:v>86.360000000000056</c:v>
                </c:pt>
                <c:pt idx="87">
                  <c:v>86.634285714285767</c:v>
                </c:pt>
                <c:pt idx="88">
                  <c:v>86.908571428571477</c:v>
                </c:pt>
                <c:pt idx="89">
                  <c:v>87.182857142857188</c:v>
                </c:pt>
                <c:pt idx="90">
                  <c:v>87.457142857142898</c:v>
                </c:pt>
                <c:pt idx="91">
                  <c:v>87.731428571428609</c:v>
                </c:pt>
                <c:pt idx="92">
                  <c:v>88.005714285714319</c:v>
                </c:pt>
                <c:pt idx="93">
                  <c:v>88.28000000000003</c:v>
                </c:pt>
                <c:pt idx="94">
                  <c:v>88.55428571428574</c:v>
                </c:pt>
                <c:pt idx="95">
                  <c:v>88.82857142857145</c:v>
                </c:pt>
                <c:pt idx="96">
                  <c:v>89.102857142857161</c:v>
                </c:pt>
                <c:pt idx="97">
                  <c:v>89.377142857142871</c:v>
                </c:pt>
                <c:pt idx="98">
                  <c:v>89.651428571428582</c:v>
                </c:pt>
                <c:pt idx="99">
                  <c:v>89.925714285714292</c:v>
                </c:pt>
                <c:pt idx="100">
                  <c:v>90.2</c:v>
                </c:pt>
              </c:numCache>
            </c:numRef>
          </c:cat>
          <c:val>
            <c:numRef>
              <c:f>'SPERT® 1976-2025'!$HP$11:$PH$11</c:f>
              <c:numCache>
                <c:formatCode>General</c:formatCode>
                <c:ptCount val="201"/>
                <c:pt idx="0">
                  <c:v>2.6411860127023769E-5</c:v>
                </c:pt>
                <c:pt idx="1">
                  <c:v>3.0918356024190582E-5</c:v>
                </c:pt>
                <c:pt idx="2">
                  <c:v>3.6134928534170061E-5</c:v>
                </c:pt>
                <c:pt idx="3">
                  <c:v>4.2162990615244138E-5</c:v>
                </c:pt>
                <c:pt idx="4">
                  <c:v>4.9116681499027982E-5</c:v>
                </c:pt>
                <c:pt idx="5">
                  <c:v>5.7124186284421039E-5</c:v>
                </c:pt>
                <c:pt idx="6">
                  <c:v>6.6329150948258174E-5</c:v>
                </c:pt>
                <c:pt idx="7">
                  <c:v>7.6892193599107796E-5</c:v>
                </c:pt>
                <c:pt idx="8">
                  <c:v>8.8992511754822104E-5</c:v>
                </c:pt>
                <c:pt idx="9">
                  <c:v>1.0282958421137581E-4</c:v>
                </c:pt>
                <c:pt idx="10">
                  <c:v>1.1862496468227354E-4</c:v>
                </c:pt>
                <c:pt idx="11">
                  <c:v>1.3662416281819885E-4</c:v>
                </c:pt>
                <c:pt idx="12">
                  <c:v>1.5709860646163779E-4</c:v>
                </c:pt>
                <c:pt idx="13">
                  <c:v>1.8034767704957122E-4</c:v>
                </c:pt>
                <c:pt idx="14">
                  <c:v>2.0670080795067187E-4</c:v>
                </c:pt>
                <c:pt idx="15">
                  <c:v>2.3651963321691529E-4</c:v>
                </c:pt>
                <c:pt idx="16">
                  <c:v>2.7020017175222465E-4</c:v>
                </c:pt>
                <c:pt idx="17">
                  <c:v>3.0817502926609231E-4</c:v>
                </c:pt>
                <c:pt idx="18">
                  <c:v>3.509155976062165E-4</c:v>
                </c:pt>
                <c:pt idx="19">
                  <c:v>3.989342281742321E-4</c:v>
                </c:pt>
                <c:pt idx="20">
                  <c:v>4.5278635315117258E-4</c:v>
                </c:pt>
                <c:pt idx="21">
                  <c:v>5.1307252522847784E-4</c:v>
                </c:pt>
                <c:pt idx="22">
                  <c:v>5.8044034349603879E-4</c:v>
                </c:pt>
                <c:pt idx="23">
                  <c:v>6.5558623012650444E-4</c:v>
                </c:pt>
                <c:pt idx="24">
                  <c:v>7.3925701956617366E-4</c:v>
                </c:pt>
                <c:pt idx="25">
                  <c:v>8.3225131915396768E-4</c:v>
                </c:pt>
                <c:pt idx="26">
                  <c:v>9.3542059750312983E-4</c:v>
                </c:pt>
                <c:pt idx="27">
                  <c:v>1.0496699546618511E-3</c:v>
                </c:pt>
                <c:pt idx="28">
                  <c:v>1.1759585260895328E-3</c:v>
                </c:pt>
                <c:pt idx="29">
                  <c:v>1.3152994709183159E-3</c:v>
                </c:pt>
                <c:pt idx="30">
                  <c:v>1.4687594938907343E-3</c:v>
                </c:pt>
                <c:pt idx="31">
                  <c:v>1.637457849850435E-3</c:v>
                </c:pt>
                <c:pt idx="32">
                  <c:v>1.8225647797902699E-3</c:v>
                </c:pt>
                <c:pt idx="33">
                  <c:v>2.0252993283052323E-3</c:v>
                </c:pt>
                <c:pt idx="34">
                  <c:v>2.246926493927652E-3</c:v>
                </c:pt>
                <c:pt idx="35">
                  <c:v>2.4887536663045782E-3</c:v>
                </c:pt>
                <c:pt idx="36">
                  <c:v>2.7521263075712373E-3</c:v>
                </c:pt>
                <c:pt idx="37">
                  <c:v>3.0384228396294266E-3</c:v>
                </c:pt>
                <c:pt idx="38">
                  <c:v>3.3490487043947468E-3</c:v>
                </c:pt>
                <c:pt idx="39">
                  <c:v>3.6854295704575788E-3</c:v>
                </c:pt>
                <c:pt idx="40">
                  <c:v>4.0490036670209461E-3</c:v>
                </c:pt>
                <c:pt idx="41">
                  <c:v>4.4412132344287545E-3</c:v>
                </c:pt>
                <c:pt idx="42">
                  <c:v>4.8634950900568125E-3</c:v>
                </c:pt>
                <c:pt idx="43">
                  <c:v>5.3172703187637843E-3</c:v>
                </c:pt>
                <c:pt idx="44">
                  <c:v>5.8039331084258289E-3</c:v>
                </c:pt>
                <c:pt idx="45">
                  <c:v>6.3248387632222026E-3</c:v>
                </c:pt>
                <c:pt idx="46">
                  <c:v>6.8812909401915973E-3</c:v>
                </c:pt>
                <c:pt idx="47">
                  <c:v>7.4745281680114427E-3</c:v>
                </c:pt>
                <c:pt idx="48">
                  <c:v>8.1057097208122476E-3</c:v>
                </c:pt>
                <c:pt idx="49">
                  <c:v>8.7759009339548281E-3</c:v>
                </c:pt>
                <c:pt idx="50">
                  <c:v>9.4860580628759548E-3</c:v>
                </c:pt>
                <c:pt idx="51">
                  <c:v>1.0237012800138707E-2</c:v>
                </c:pt>
                <c:pt idx="52">
                  <c:v>1.1029456579479688E-2</c:v>
                </c:pt>
                <c:pt idx="53">
                  <c:v>1.186392480868919E-2</c:v>
                </c:pt>
                <c:pt idx="54">
                  <c:v>1.2740781185342701E-2</c:v>
                </c:pt>
                <c:pt idx="55">
                  <c:v>1.3660202260469821E-2</c:v>
                </c:pt>
                <c:pt idx="56">
                  <c:v>1.4622162424944418E-2</c:v>
                </c:pt>
                <c:pt idx="57">
                  <c:v>1.5626419501456084E-2</c:v>
                </c:pt>
                <c:pt idx="58">
                  <c:v>1.6672501131133867E-2</c:v>
                </c:pt>
                <c:pt idx="59">
                  <c:v>1.7759692148009727E-2</c:v>
                </c:pt>
                <c:pt idx="60">
                  <c:v>1.888702313631839E-2</c:v>
                </c:pt>
                <c:pt idx="61">
                  <c:v>2.0053260364946264E-2</c:v>
                </c:pt>
                <c:pt idx="62">
                  <c:v>2.1256897290004958E-2</c:v>
                </c:pt>
                <c:pt idx="63">
                  <c:v>2.249614781039088E-2</c:v>
                </c:pt>
                <c:pt idx="64">
                  <c:v>2.3768941452214341E-2</c:v>
                </c:pt>
                <c:pt idx="65">
                  <c:v>2.507292064609639E-2</c:v>
                </c:pt>
                <c:pt idx="66">
                  <c:v>2.6405440246540717E-2</c:v>
                </c:pt>
                <c:pt idx="67">
                  <c:v>2.7763569424942035E-2</c:v>
                </c:pt>
                <c:pt idx="68">
                  <c:v>2.9144096047393521E-2</c:v>
                </c:pt>
                <c:pt idx="69">
                  <c:v>3.0543533625455439E-2</c:v>
                </c:pt>
                <c:pt idx="70">
                  <c:v>3.1958130902651635E-2</c:v>
                </c:pt>
                <c:pt idx="71">
                  <c:v>3.3383884111923876E-2</c:v>
                </c:pt>
                <c:pt idx="72">
                  <c:v>3.4816551909900961E-2</c:v>
                </c:pt>
                <c:pt idx="73">
                  <c:v>3.6251672962980076E-2</c:v>
                </c:pt>
                <c:pt idx="74">
                  <c:v>3.7684586128262088E-2</c:v>
                </c:pt>
                <c:pt idx="75">
                  <c:v>3.9110453139759978E-2</c:v>
                </c:pt>
                <c:pt idx="76">
                  <c:v>4.0524283677465203E-2</c:v>
                </c:pt>
                <c:pt idx="77">
                  <c:v>4.1920962664293758E-2</c:v>
                </c:pt>
                <c:pt idx="78">
                  <c:v>4.3295279604136844E-2</c:v>
                </c:pt>
                <c:pt idx="79">
                  <c:v>4.4641959743712781E-2</c:v>
                </c:pt>
                <c:pt idx="80">
                  <c:v>4.5955696812159781E-2</c:v>
                </c:pt>
                <c:pt idx="81">
                  <c:v>4.7231187065811184E-2</c:v>
                </c:pt>
                <c:pt idx="82">
                  <c:v>4.8463164341827E-2</c:v>
                </c:pt>
                <c:pt idx="83">
                  <c:v>4.9646435803756161E-2</c:v>
                </c:pt>
                <c:pt idx="84">
                  <c:v>5.0775918045075481E-2</c:v>
                </c:pt>
                <c:pt idx="85">
                  <c:v>5.184667320364663E-2</c:v>
                </c:pt>
                <c:pt idx="86">
                  <c:v>5.2853944731152701E-2</c:v>
                </c:pt>
                <c:pt idx="87">
                  <c:v>5.3793192457156642E-2</c:v>
                </c:pt>
                <c:pt idx="88">
                  <c:v>5.4660126587638302E-2</c:v>
                </c:pt>
                <c:pt idx="89">
                  <c:v>5.5450740282810294E-2</c:v>
                </c:pt>
                <c:pt idx="90">
                  <c:v>5.616134046871081E-2</c:v>
                </c:pt>
                <c:pt idx="91">
                  <c:v>5.6788576551466831E-2</c:v>
                </c:pt>
                <c:pt idx="92">
                  <c:v>5.7329466722083555E-2</c:v>
                </c:pt>
                <c:pt idx="93">
                  <c:v>5.7781421562934303E-2</c:v>
                </c:pt>
                <c:pt idx="94">
                  <c:v>5.8142264694517123E-2</c:v>
                </c:pt>
                <c:pt idx="95">
                  <c:v>5.8410250232155465E-2</c:v>
                </c:pt>
                <c:pt idx="96">
                  <c:v>5.8584076856732906E-2</c:v>
                </c:pt>
                <c:pt idx="97">
                  <c:v>5.8662898340789651E-2</c:v>
                </c:pt>
                <c:pt idx="98">
                  <c:v>5.8646330410845209E-2</c:v>
                </c:pt>
                <c:pt idx="99">
                  <c:v>5.8534453868081052E-2</c:v>
                </c:pt>
                <c:pt idx="100">
                  <c:v>5.8327813931922719E-2</c:v>
                </c:pt>
                <c:pt idx="101">
                  <c:v>5.8027415813982429E-2</c:v>
                </c:pt>
                <c:pt idx="102">
                  <c:v>5.7634716572638127E-2</c:v>
                </c:pt>
                <c:pt idx="103">
                  <c:v>5.7151613340603848E-2</c:v>
                </c:pt>
                <c:pt idx="104">
                  <c:v>5.6580428058581218E-2</c:v>
                </c:pt>
                <c:pt idx="105">
                  <c:v>5.5923888886882371E-2</c:v>
                </c:pt>
                <c:pt idx="106">
                  <c:v>5.518510850322874E-2</c:v>
                </c:pt>
                <c:pt idx="107">
                  <c:v>5.436755952824724E-2</c:v>
                </c:pt>
                <c:pt idx="108">
                  <c:v>5.3475047350050139E-2</c:v>
                </c:pt>
                <c:pt idx="109">
                  <c:v>5.2511680645298077E-2</c:v>
                </c:pt>
                <c:pt idx="110">
                  <c:v>5.1481839915981036E-2</c:v>
                </c:pt>
                <c:pt idx="111">
                  <c:v>5.0390144378547663E-2</c:v>
                </c:pt>
                <c:pt idx="112">
                  <c:v>4.9241417554789266E-2</c:v>
                </c:pt>
                <c:pt idx="113">
                  <c:v>4.8040651921933825E-2</c:v>
                </c:pt>
                <c:pt idx="114">
                  <c:v>4.6792972982700437E-2</c:v>
                </c:pt>
                <c:pt idx="115">
                  <c:v>4.5503603114655122E-2</c:v>
                </c:pt>
                <c:pt idx="116">
                  <c:v>4.4177825552218171E-2</c:v>
                </c:pt>
                <c:pt idx="117">
                  <c:v>4.2820948844296179E-2</c:v>
                </c:pt>
                <c:pt idx="118">
                  <c:v>4.1438272116007875E-2</c:v>
                </c:pt>
                <c:pt idx="119">
                  <c:v>4.0035051444661927E-2</c:v>
                </c:pt>
                <c:pt idx="120">
                  <c:v>3.8616467638397642E-2</c:v>
                </c:pt>
                <c:pt idx="121">
                  <c:v>3.7187595681132259E-2</c:v>
                </c:pt>
                <c:pt idx="122">
                  <c:v>3.5753376080121732E-2</c:v>
                </c:pt>
                <c:pt idx="123">
                  <c:v>3.431858832301328E-2</c:v>
                </c:pt>
                <c:pt idx="124">
                  <c:v>3.2887826620242838E-2</c:v>
                </c:pt>
                <c:pt idx="125">
                  <c:v>3.1465478076510026E-2</c:v>
                </c:pt>
                <c:pt idx="126">
                  <c:v>3.0055703402350992E-2</c:v>
                </c:pt>
                <c:pt idx="127">
                  <c:v>2.8662420244014872E-2</c:v>
                </c:pt>
                <c:pt idx="128">
                  <c:v>2.7289289177408398E-2</c:v>
                </c:pt>
                <c:pt idx="129">
                  <c:v>2.5939702380250982E-2</c:v>
                </c:pt>
                <c:pt idx="130">
                  <c:v>2.4616774966197387E-2</c:v>
                </c:pt>
                <c:pt idx="131">
                  <c:v>2.3323338935911923E-2</c:v>
                </c:pt>
                <c:pt idx="132">
                  <c:v>2.2061939673253067E-2</c:v>
                </c:pt>
                <c:pt idx="133">
                  <c:v>2.0834834890136922E-2</c:v>
                </c:pt>
                <c:pt idx="134">
                  <c:v>1.9643995901530657E-2</c:v>
                </c:pt>
                <c:pt idx="135">
                  <c:v>1.8491111092568881E-2</c:v>
                </c:pt>
                <c:pt idx="136">
                  <c:v>1.7377591423122982E-2</c:v>
                </c:pt>
                <c:pt idx="137">
                  <c:v>1.6304577801367841E-2</c:v>
                </c:pt>
                <c:pt idx="138">
                  <c:v>1.5272950147016993E-2</c:v>
                </c:pt>
                <c:pt idx="139">
                  <c:v>1.4283337956920751E-2</c:v>
                </c:pt>
                <c:pt idx="140">
                  <c:v>1.3336132180584017E-2</c:v>
                </c:pt>
                <c:pt idx="141">
                  <c:v>1.2431498210760179E-2</c:v>
                </c:pt>
                <c:pt idx="142">
                  <c:v>1.156938979447918E-2</c:v>
                </c:pt>
                <c:pt idx="143">
                  <c:v>1.0749563672500404E-2</c:v>
                </c:pt>
                <c:pt idx="144">
                  <c:v>9.9715947600500197E-3</c:v>
                </c:pt>
                <c:pt idx="145">
                  <c:v>9.2348916885876681E-3</c:v>
                </c:pt>
                <c:pt idx="146">
                  <c:v>8.538712537014952E-3</c:v>
                </c:pt>
                <c:pt idx="147">
                  <c:v>7.8821805909402003E-3</c:v>
                </c:pt>
                <c:pt idx="148">
                  <c:v>7.2642999800978623E-3</c:v>
                </c:pt>
                <c:pt idx="149">
                  <c:v>6.6839710565306217E-3</c:v>
                </c:pt>
                <c:pt idx="150">
                  <c:v>6.1400053894268168E-3</c:v>
                </c:pt>
                <c:pt idx="151">
                  <c:v>5.631140266317944E-3</c:v>
                </c:pt>
                <c:pt idx="152">
                  <c:v>5.15605260444794E-3</c:v>
                </c:pt>
                <c:pt idx="153">
                  <c:v>4.7133721903049883E-3</c:v>
                </c:pt>
                <c:pt idx="154">
                  <c:v>4.3016941793543022E-3</c:v>
                </c:pt>
                <c:pt idx="155">
                  <c:v>3.9195908017404524E-3</c:v>
                </c:pt>
                <c:pt idx="156">
                  <c:v>3.5656222329748587E-3</c:v>
                </c:pt>
                <c:pt idx="157">
                  <c:v>3.2383466012439791E-3</c:v>
                </c:pt>
                <c:pt idx="158">
                  <c:v>2.9363291148446448E-3</c:v>
                </c:pt>
                <c:pt idx="159">
                  <c:v>2.6581503042750424E-3</c:v>
                </c:pt>
                <c:pt idx="160">
                  <c:v>2.4024133836052929E-3</c:v>
                </c:pt>
                <c:pt idx="161">
                  <c:v>2.1677507448642375E-3</c:v>
                </c:pt>
                <c:pt idx="162">
                  <c:v>1.9528296072725913E-3</c:v>
                </c:pt>
                <c:pt idx="163">
                  <c:v>1.7563568502105618E-3</c:v>
                </c:pt>
                <c:pt idx="164">
                  <c:v>1.577083064830623E-3</c:v>
                </c:pt>
                <c:pt idx="165">
                  <c:v>1.4138058642303327E-3</c:v>
                </c:pt>
                <c:pt idx="166">
                  <c:v>1.2653724961163789E-3</c:v>
                </c:pt>
                <c:pt idx="167">
                  <c:v>1.1306818049623523E-3</c:v>
                </c:pt>
                <c:pt idx="168">
                  <c:v>1.0086855928422092E-3</c:v>
                </c:pt>
                <c:pt idx="169">
                  <c:v>8.9838942947035628E-4</c:v>
                </c:pt>
                <c:pt idx="170">
                  <c:v>7.9885296256565193E-4</c:v>
                </c:pt>
                <c:pt idx="171">
                  <c:v>7.0918977955275486E-4</c:v>
                </c:pt>
                <c:pt idx="172">
                  <c:v>6.2856687089550643E-4</c:v>
                </c:pt>
                <c:pt idx="173">
                  <c:v>5.5620374410002716E-4</c:v>
                </c:pt>
                <c:pt idx="174">
                  <c:v>4.9137123570644752E-4</c:v>
                </c:pt>
                <c:pt idx="175">
                  <c:v>4.3339006648279255E-4</c:v>
                </c:pt>
                <c:pt idx="176">
                  <c:v>3.8162918261512579E-4</c:v>
                </c:pt>
                <c:pt idx="177">
                  <c:v>3.3550392302373878E-4</c:v>
                </c:pt>
                <c:pt idx="178">
                  <c:v>2.9447405009096293E-4</c:v>
                </c:pt>
                <c:pt idx="179">
                  <c:v>2.5804167812217292E-4</c:v>
                </c:pt>
                <c:pt idx="180">
                  <c:v>2.2574913083262742E-4</c:v>
                </c:pt>
                <c:pt idx="181">
                  <c:v>1.9717675610828281E-4</c:v>
                </c:pt>
                <c:pt idx="182">
                  <c:v>1.719407232722018E-4</c:v>
                </c:pt>
                <c:pt idx="183">
                  <c:v>1.4969082513754055E-4</c:v>
                </c:pt>
                <c:pt idx="184">
                  <c:v>1.301083042754686E-4</c:v>
                </c:pt>
                <c:pt idx="185">
                  <c:v>1.1290372019845632E-4</c:v>
                </c:pt>
                <c:pt idx="186">
                  <c:v>9.7814871577527946E-5</c:v>
                </c:pt>
                <c:pt idx="187">
                  <c:v>8.4604785192787883E-5</c:v>
                </c:pt>
                <c:pt idx="188">
                  <c:v>7.3059781071638499E-5</c:v>
                </c:pt>
                <c:pt idx="189">
                  <c:v>6.2987621206293083E-5</c:v>
                </c:pt>
                <c:pt idx="190">
                  <c:v>5.421574736534685E-5</c:v>
                </c:pt>
                <c:pt idx="191">
                  <c:v>4.6589611823879094E-5</c:v>
                </c:pt>
                <c:pt idx="192">
                  <c:v>3.9971103330492384E-5</c:v>
                </c:pt>
                <c:pt idx="193">
                  <c:v>3.4237069303066742E-5</c:v>
                </c:pt>
                <c:pt idx="194">
                  <c:v>2.9277934090980052E-5</c:v>
                </c:pt>
                <c:pt idx="195">
                  <c:v>2.4996412151645843E-5</c:v>
                </c:pt>
                <c:pt idx="196">
                  <c:v>2.1306314153669125E-5</c:v>
                </c:pt>
                <c:pt idx="197">
                  <c:v>1.8131443327035387E-5</c:v>
                </c:pt>
                <c:pt idx="198">
                  <c:v>1.5404578821190045E-5</c:v>
                </c:pt>
                <c:pt idx="199">
                  <c:v>1.3066542392966041E-5</c:v>
                </c:pt>
                <c:pt idx="200">
                  <c:v>1.1065344416292073E-5</c:v>
                </c:pt>
              </c:numCache>
            </c:numRef>
          </c:val>
          <c:smooth val="0"/>
          <c:extLst>
            <c:ext xmlns:c16="http://schemas.microsoft.com/office/drawing/2014/chart" uri="{C3380CC4-5D6E-409C-BE32-E72D297353CC}">
              <c16:uniqueId val="{00000003-46EE-4D64-93C3-5CDB585C012C}"/>
            </c:ext>
          </c:extLst>
        </c:ser>
        <c:dLbls>
          <c:showLegendKey val="0"/>
          <c:showVal val="0"/>
          <c:showCatName val="0"/>
          <c:showSerName val="0"/>
          <c:showPercent val="0"/>
          <c:showBubbleSize val="0"/>
        </c:dLbls>
        <c:marker val="1"/>
        <c:smooth val="0"/>
        <c:axId val="613283808"/>
        <c:axId val="613280200"/>
      </c:lineChart>
      <c:catAx>
        <c:axId val="613283808"/>
        <c:scaling>
          <c:orientation val="minMax"/>
        </c:scaling>
        <c:delete val="0"/>
        <c:axPos val="b"/>
        <c:numFmt formatCode="#,##0_);\(#,##0\)"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3280200"/>
        <c:crosses val="autoZero"/>
        <c:auto val="1"/>
        <c:lblAlgn val="ctr"/>
        <c:lblOffset val="100"/>
        <c:noMultiLvlLbl val="0"/>
      </c:catAx>
      <c:valAx>
        <c:axId val="6132802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3283808"/>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gradFill>
      <a:gsLst>
        <a:gs pos="15000">
          <a:schemeClr val="accent3">
            <a:lumMod val="5000"/>
            <a:lumOff val="95000"/>
          </a:schemeClr>
        </a:gs>
        <a:gs pos="74000">
          <a:schemeClr val="accent3">
            <a:lumMod val="45000"/>
            <a:lumOff val="55000"/>
          </a:schemeClr>
        </a:gs>
        <a:gs pos="83000">
          <a:schemeClr val="accent3">
            <a:lumMod val="45000"/>
            <a:lumOff val="55000"/>
          </a:schemeClr>
        </a:gs>
        <a:gs pos="100000">
          <a:schemeClr val="accent3">
            <a:lumMod val="30000"/>
            <a:lumOff val="70000"/>
          </a:schemeClr>
        </a:gs>
      </a:gsLst>
      <a:lin ang="5400000" scaled="1"/>
    </a:gra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5B24-4468-BDF2-A96CE0D34A5F}"/>
              </c:ext>
            </c:extLst>
          </c:dPt>
          <c:dPt>
            <c:idx val="1"/>
            <c:bubble3D val="0"/>
            <c:spPr>
              <a:solidFill>
                <a:schemeClr val="accent3"/>
              </a:solidFill>
              <a:ln w="19050">
                <a:solidFill>
                  <a:schemeClr val="lt1"/>
                </a:solidFill>
              </a:ln>
              <a:effectLst/>
            </c:spPr>
            <c:extLst>
              <c:ext xmlns:c16="http://schemas.microsoft.com/office/drawing/2014/chart" uri="{C3380CC4-5D6E-409C-BE32-E72D297353CC}">
                <c16:uniqueId val="{00000003-5B24-4468-BDF2-A96CE0D34A5F}"/>
              </c:ext>
            </c:extLst>
          </c:dPt>
          <c:dPt>
            <c:idx val="2"/>
            <c:bubble3D val="0"/>
            <c:spPr>
              <a:solidFill>
                <a:schemeClr val="accent2"/>
              </a:solidFill>
              <a:ln w="19050">
                <a:solidFill>
                  <a:schemeClr val="lt1"/>
                </a:solidFill>
              </a:ln>
              <a:effectLst/>
            </c:spPr>
            <c:extLst>
              <c:ext xmlns:c16="http://schemas.microsoft.com/office/drawing/2014/chart" uri="{C3380CC4-5D6E-409C-BE32-E72D297353CC}">
                <c16:uniqueId val="{00000005-5B24-4468-BDF2-A96CE0D34A5F}"/>
              </c:ext>
            </c:extLst>
          </c:dPt>
          <c:val>
            <c:numRef>
              <c:f>'SPERT® 2001-2025'!$D$23:$D$25</c:f>
              <c:numCache>
                <c:formatCode>0%</c:formatCode>
                <c:ptCount val="3"/>
                <c:pt idx="0">
                  <c:v>0.11209497073112007</c:v>
                </c:pt>
                <c:pt idx="1">
                  <c:v>0.57497503767556879</c:v>
                </c:pt>
                <c:pt idx="2">
                  <c:v>0.31292999159331114</c:v>
                </c:pt>
              </c:numCache>
            </c:numRef>
          </c:val>
          <c:extLst>
            <c:ext xmlns:c16="http://schemas.microsoft.com/office/drawing/2014/chart" uri="{C3380CC4-5D6E-409C-BE32-E72D297353CC}">
              <c16:uniqueId val="{00000006-5B24-4468-BDF2-A96CE0D34A5F}"/>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SPERT® Normal Distribution of Washington DC's</a:t>
            </a:r>
          </a:p>
          <a:p>
            <a:pPr>
              <a:defRPr/>
            </a:pPr>
            <a:r>
              <a:rPr lang="en-US"/>
              <a:t>Cherry Blossom Peak</a:t>
            </a:r>
          </a:p>
        </c:rich>
      </c:tx>
      <c:layout>
        <c:manualLayout>
          <c:xMode val="edge"/>
          <c:yMode val="edge"/>
          <c:x val="0.29356626752077641"/>
          <c:y val="2.313924924645802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3"/>
            </a:solidFill>
            <a:ln>
              <a:noFill/>
            </a:ln>
            <a:effectLst/>
          </c:spPr>
          <c:invertIfNegative val="0"/>
          <c:cat>
            <c:numRef>
              <c:f>'SPERT® 2001-2025'!$W$4:$HO$4</c:f>
              <c:numCache>
                <c:formatCode>#,##0_);\(#,##0\)</c:formatCode>
                <c:ptCount val="201"/>
                <c:pt idx="0">
                  <c:v>63.957142857142379</c:v>
                </c:pt>
                <c:pt idx="1">
                  <c:v>64.208571428570949</c:v>
                </c:pt>
                <c:pt idx="2">
                  <c:v>64.459999999999525</c:v>
                </c:pt>
                <c:pt idx="3">
                  <c:v>64.711428571428101</c:v>
                </c:pt>
                <c:pt idx="4">
                  <c:v>64.962857142856677</c:v>
                </c:pt>
                <c:pt idx="5">
                  <c:v>65.214285714285253</c:v>
                </c:pt>
                <c:pt idx="6">
                  <c:v>65.46571428571383</c:v>
                </c:pt>
                <c:pt idx="7">
                  <c:v>65.717142857142406</c:v>
                </c:pt>
                <c:pt idx="8">
                  <c:v>65.968571428570982</c:v>
                </c:pt>
                <c:pt idx="9">
                  <c:v>66.219999999999558</c:v>
                </c:pt>
                <c:pt idx="10">
                  <c:v>66.471428571428135</c:v>
                </c:pt>
                <c:pt idx="11">
                  <c:v>66.722857142856711</c:v>
                </c:pt>
                <c:pt idx="12">
                  <c:v>66.974285714285287</c:v>
                </c:pt>
                <c:pt idx="13">
                  <c:v>67.225714285713863</c:v>
                </c:pt>
                <c:pt idx="14">
                  <c:v>67.477142857142439</c:v>
                </c:pt>
                <c:pt idx="15">
                  <c:v>67.728571428571016</c:v>
                </c:pt>
                <c:pt idx="16">
                  <c:v>67.979999999999592</c:v>
                </c:pt>
                <c:pt idx="17">
                  <c:v>68.231428571428168</c:v>
                </c:pt>
                <c:pt idx="18">
                  <c:v>68.482857142856744</c:v>
                </c:pt>
                <c:pt idx="19">
                  <c:v>68.734285714285321</c:v>
                </c:pt>
                <c:pt idx="20">
                  <c:v>68.985714285713897</c:v>
                </c:pt>
                <c:pt idx="21">
                  <c:v>69.237142857142473</c:v>
                </c:pt>
                <c:pt idx="22">
                  <c:v>69.488571428571049</c:v>
                </c:pt>
                <c:pt idx="23">
                  <c:v>69.739999999999625</c:v>
                </c:pt>
                <c:pt idx="24">
                  <c:v>69.991428571428202</c:v>
                </c:pt>
                <c:pt idx="25">
                  <c:v>70.242857142856778</c:v>
                </c:pt>
                <c:pt idx="26">
                  <c:v>70.494285714285354</c:v>
                </c:pt>
                <c:pt idx="27">
                  <c:v>70.74571428571393</c:v>
                </c:pt>
                <c:pt idx="28">
                  <c:v>70.997142857142507</c:v>
                </c:pt>
                <c:pt idx="29">
                  <c:v>71.248571428571083</c:v>
                </c:pt>
                <c:pt idx="30">
                  <c:v>71.499999999999659</c:v>
                </c:pt>
                <c:pt idx="31">
                  <c:v>71.751428571428235</c:v>
                </c:pt>
                <c:pt idx="32">
                  <c:v>72.002857142856811</c:v>
                </c:pt>
                <c:pt idx="33">
                  <c:v>72.254285714285388</c:v>
                </c:pt>
                <c:pt idx="34">
                  <c:v>72.505714285713964</c:v>
                </c:pt>
                <c:pt idx="35">
                  <c:v>72.75714285714254</c:v>
                </c:pt>
                <c:pt idx="36">
                  <c:v>73.008571428571116</c:v>
                </c:pt>
                <c:pt idx="37">
                  <c:v>73.259999999999692</c:v>
                </c:pt>
                <c:pt idx="38">
                  <c:v>73.511428571428269</c:v>
                </c:pt>
                <c:pt idx="39">
                  <c:v>73.762857142856845</c:v>
                </c:pt>
                <c:pt idx="40">
                  <c:v>74.014285714285421</c:v>
                </c:pt>
                <c:pt idx="41">
                  <c:v>74.265714285713997</c:v>
                </c:pt>
                <c:pt idx="42">
                  <c:v>74.517142857142574</c:v>
                </c:pt>
                <c:pt idx="43">
                  <c:v>74.76857142857115</c:v>
                </c:pt>
                <c:pt idx="44">
                  <c:v>75.019999999999726</c:v>
                </c:pt>
                <c:pt idx="45">
                  <c:v>75.271428571428302</c:v>
                </c:pt>
                <c:pt idx="46">
                  <c:v>75.522857142856878</c:v>
                </c:pt>
                <c:pt idx="47">
                  <c:v>75.774285714285455</c:v>
                </c:pt>
                <c:pt idx="48">
                  <c:v>76.025714285714031</c:v>
                </c:pt>
                <c:pt idx="49">
                  <c:v>76.277142857142607</c:v>
                </c:pt>
                <c:pt idx="50">
                  <c:v>76.528571428571183</c:v>
                </c:pt>
                <c:pt idx="51">
                  <c:v>76.77999999999976</c:v>
                </c:pt>
                <c:pt idx="52">
                  <c:v>77.031428571428336</c:v>
                </c:pt>
                <c:pt idx="53">
                  <c:v>77.282857142856912</c:v>
                </c:pt>
                <c:pt idx="54">
                  <c:v>77.534285714285488</c:v>
                </c:pt>
                <c:pt idx="55">
                  <c:v>77.785714285714064</c:v>
                </c:pt>
                <c:pt idx="56">
                  <c:v>78.037142857142641</c:v>
                </c:pt>
                <c:pt idx="57">
                  <c:v>78.288571428571217</c:v>
                </c:pt>
                <c:pt idx="58">
                  <c:v>78.539999999999793</c:v>
                </c:pt>
                <c:pt idx="59">
                  <c:v>78.791428571428369</c:v>
                </c:pt>
                <c:pt idx="60">
                  <c:v>79.042857142856946</c:v>
                </c:pt>
                <c:pt idx="61">
                  <c:v>79.294285714285522</c:v>
                </c:pt>
                <c:pt idx="62">
                  <c:v>79.545714285714098</c:v>
                </c:pt>
                <c:pt idx="63">
                  <c:v>79.797142857142674</c:v>
                </c:pt>
                <c:pt idx="64">
                  <c:v>80.04857142857125</c:v>
                </c:pt>
                <c:pt idx="65">
                  <c:v>80.299999999999827</c:v>
                </c:pt>
                <c:pt idx="66">
                  <c:v>80.551428571428403</c:v>
                </c:pt>
                <c:pt idx="67">
                  <c:v>80.802857142856979</c:v>
                </c:pt>
                <c:pt idx="68">
                  <c:v>81.054285714285555</c:v>
                </c:pt>
                <c:pt idx="69">
                  <c:v>81.305714285714132</c:v>
                </c:pt>
                <c:pt idx="70">
                  <c:v>81.557142857142708</c:v>
                </c:pt>
                <c:pt idx="71">
                  <c:v>81.808571428571284</c:v>
                </c:pt>
                <c:pt idx="72">
                  <c:v>82.05999999999986</c:v>
                </c:pt>
                <c:pt idx="73">
                  <c:v>82.311428571428436</c:v>
                </c:pt>
                <c:pt idx="74">
                  <c:v>82.562857142857013</c:v>
                </c:pt>
                <c:pt idx="75">
                  <c:v>82.814285714285589</c:v>
                </c:pt>
                <c:pt idx="76">
                  <c:v>83.065714285714165</c:v>
                </c:pt>
                <c:pt idx="77">
                  <c:v>83.317142857142741</c:v>
                </c:pt>
                <c:pt idx="78">
                  <c:v>83.568571428571317</c:v>
                </c:pt>
                <c:pt idx="79">
                  <c:v>83.819999999999894</c:v>
                </c:pt>
                <c:pt idx="80">
                  <c:v>84.07142857142847</c:v>
                </c:pt>
                <c:pt idx="81">
                  <c:v>84.322857142857046</c:v>
                </c:pt>
                <c:pt idx="82">
                  <c:v>84.574285714285622</c:v>
                </c:pt>
                <c:pt idx="83">
                  <c:v>84.825714285714199</c:v>
                </c:pt>
                <c:pt idx="84">
                  <c:v>85.077142857142775</c:v>
                </c:pt>
                <c:pt idx="85">
                  <c:v>85.328571428571351</c:v>
                </c:pt>
                <c:pt idx="86">
                  <c:v>85.579999999999927</c:v>
                </c:pt>
                <c:pt idx="87">
                  <c:v>85.831428571428503</c:v>
                </c:pt>
                <c:pt idx="88">
                  <c:v>86.08285714285708</c:v>
                </c:pt>
                <c:pt idx="89">
                  <c:v>86.334285714285656</c:v>
                </c:pt>
                <c:pt idx="90">
                  <c:v>86.585714285714232</c:v>
                </c:pt>
                <c:pt idx="91">
                  <c:v>86.837142857142808</c:v>
                </c:pt>
                <c:pt idx="92">
                  <c:v>87.088571428571385</c:v>
                </c:pt>
                <c:pt idx="93">
                  <c:v>87.339999999999961</c:v>
                </c:pt>
                <c:pt idx="94">
                  <c:v>87.591428571428537</c:v>
                </c:pt>
                <c:pt idx="95">
                  <c:v>87.842857142857113</c:v>
                </c:pt>
                <c:pt idx="96">
                  <c:v>88.094285714285689</c:v>
                </c:pt>
                <c:pt idx="97">
                  <c:v>88.345714285714266</c:v>
                </c:pt>
                <c:pt idx="98">
                  <c:v>88.597142857142842</c:v>
                </c:pt>
                <c:pt idx="99">
                  <c:v>88.848571428571418</c:v>
                </c:pt>
                <c:pt idx="100">
                  <c:v>89.1</c:v>
                </c:pt>
                <c:pt idx="101">
                  <c:v>89.351428571428571</c:v>
                </c:pt>
                <c:pt idx="102">
                  <c:v>89.602857142857147</c:v>
                </c:pt>
                <c:pt idx="103">
                  <c:v>89.854285714285723</c:v>
                </c:pt>
                <c:pt idx="104">
                  <c:v>90.105714285714299</c:v>
                </c:pt>
                <c:pt idx="105">
                  <c:v>90.357142857142875</c:v>
                </c:pt>
                <c:pt idx="106">
                  <c:v>90.608571428571452</c:v>
                </c:pt>
                <c:pt idx="107">
                  <c:v>90.860000000000028</c:v>
                </c:pt>
                <c:pt idx="108">
                  <c:v>91.111428571428604</c:v>
                </c:pt>
                <c:pt idx="109">
                  <c:v>91.36285714285718</c:v>
                </c:pt>
                <c:pt idx="110">
                  <c:v>91.614285714285757</c:v>
                </c:pt>
                <c:pt idx="111">
                  <c:v>91.865714285714333</c:v>
                </c:pt>
                <c:pt idx="112">
                  <c:v>92.117142857142909</c:v>
                </c:pt>
                <c:pt idx="113">
                  <c:v>92.368571428571485</c:v>
                </c:pt>
                <c:pt idx="114">
                  <c:v>92.620000000000061</c:v>
                </c:pt>
                <c:pt idx="115">
                  <c:v>92.871428571428638</c:v>
                </c:pt>
                <c:pt idx="116">
                  <c:v>93.122857142857214</c:v>
                </c:pt>
                <c:pt idx="117">
                  <c:v>93.37428571428579</c:v>
                </c:pt>
                <c:pt idx="118">
                  <c:v>93.625714285714366</c:v>
                </c:pt>
                <c:pt idx="119">
                  <c:v>93.877142857142942</c:v>
                </c:pt>
                <c:pt idx="120">
                  <c:v>94.128571428571519</c:v>
                </c:pt>
                <c:pt idx="121">
                  <c:v>94.380000000000095</c:v>
                </c:pt>
                <c:pt idx="122">
                  <c:v>94.631428571428671</c:v>
                </c:pt>
                <c:pt idx="123">
                  <c:v>94.882857142857247</c:v>
                </c:pt>
                <c:pt idx="124">
                  <c:v>95.134285714285824</c:v>
                </c:pt>
                <c:pt idx="125">
                  <c:v>95.3857142857144</c:v>
                </c:pt>
                <c:pt idx="126">
                  <c:v>95.637142857142976</c:v>
                </c:pt>
                <c:pt idx="127">
                  <c:v>95.888571428571552</c:v>
                </c:pt>
                <c:pt idx="128">
                  <c:v>96.140000000000128</c:v>
                </c:pt>
                <c:pt idx="129">
                  <c:v>96.391428571428705</c:v>
                </c:pt>
                <c:pt idx="130">
                  <c:v>96.642857142857281</c:v>
                </c:pt>
                <c:pt idx="131">
                  <c:v>96.894285714285857</c:v>
                </c:pt>
                <c:pt idx="132">
                  <c:v>97.145714285714433</c:v>
                </c:pt>
                <c:pt idx="133">
                  <c:v>97.39714285714301</c:v>
                </c:pt>
                <c:pt idx="134">
                  <c:v>97.648571428571586</c:v>
                </c:pt>
                <c:pt idx="135">
                  <c:v>97.900000000000162</c:v>
                </c:pt>
                <c:pt idx="136">
                  <c:v>98.151428571428738</c:v>
                </c:pt>
                <c:pt idx="137">
                  <c:v>98.402857142857314</c:v>
                </c:pt>
                <c:pt idx="138">
                  <c:v>98.654285714285891</c:v>
                </c:pt>
                <c:pt idx="139">
                  <c:v>98.905714285714467</c:v>
                </c:pt>
                <c:pt idx="140">
                  <c:v>99.157142857143043</c:v>
                </c:pt>
                <c:pt idx="141">
                  <c:v>99.408571428571619</c:v>
                </c:pt>
                <c:pt idx="142">
                  <c:v>99.660000000000196</c:v>
                </c:pt>
                <c:pt idx="143">
                  <c:v>99.911428571428772</c:v>
                </c:pt>
                <c:pt idx="144">
                  <c:v>100.16285714285735</c:v>
                </c:pt>
                <c:pt idx="145">
                  <c:v>100.41428571428592</c:v>
                </c:pt>
                <c:pt idx="146">
                  <c:v>100.6657142857145</c:v>
                </c:pt>
                <c:pt idx="147">
                  <c:v>100.91714285714308</c:v>
                </c:pt>
                <c:pt idx="148">
                  <c:v>101.16857142857165</c:v>
                </c:pt>
                <c:pt idx="149">
                  <c:v>101.42000000000023</c:v>
                </c:pt>
                <c:pt idx="150">
                  <c:v>101.67142857142881</c:v>
                </c:pt>
                <c:pt idx="151">
                  <c:v>101.92285714285738</c:v>
                </c:pt>
                <c:pt idx="152">
                  <c:v>102.17428571428596</c:v>
                </c:pt>
                <c:pt idx="153">
                  <c:v>102.42571428571453</c:v>
                </c:pt>
                <c:pt idx="154">
                  <c:v>102.67714285714311</c:v>
                </c:pt>
                <c:pt idx="155">
                  <c:v>102.92857142857169</c:v>
                </c:pt>
                <c:pt idx="156">
                  <c:v>103.18000000000026</c:v>
                </c:pt>
                <c:pt idx="157">
                  <c:v>103.43142857142884</c:v>
                </c:pt>
                <c:pt idx="158">
                  <c:v>103.68285714285742</c:v>
                </c:pt>
                <c:pt idx="159">
                  <c:v>103.93428571428599</c:v>
                </c:pt>
                <c:pt idx="160">
                  <c:v>104.18571428571457</c:v>
                </c:pt>
                <c:pt idx="161">
                  <c:v>104.43714285714314</c:v>
                </c:pt>
                <c:pt idx="162">
                  <c:v>104.68857142857172</c:v>
                </c:pt>
                <c:pt idx="163">
                  <c:v>104.9400000000003</c:v>
                </c:pt>
                <c:pt idx="164">
                  <c:v>105.19142857142887</c:v>
                </c:pt>
                <c:pt idx="165">
                  <c:v>105.44285714285745</c:v>
                </c:pt>
                <c:pt idx="166">
                  <c:v>105.69428571428602</c:v>
                </c:pt>
                <c:pt idx="167">
                  <c:v>105.9457142857146</c:v>
                </c:pt>
                <c:pt idx="168">
                  <c:v>106.19714285714318</c:v>
                </c:pt>
                <c:pt idx="169">
                  <c:v>106.44857142857175</c:v>
                </c:pt>
                <c:pt idx="170">
                  <c:v>106.70000000000033</c:v>
                </c:pt>
                <c:pt idx="171">
                  <c:v>106.95142857142891</c:v>
                </c:pt>
                <c:pt idx="172">
                  <c:v>107.20285714285748</c:v>
                </c:pt>
                <c:pt idx="173">
                  <c:v>107.45428571428606</c:v>
                </c:pt>
                <c:pt idx="174">
                  <c:v>107.70571428571463</c:v>
                </c:pt>
                <c:pt idx="175">
                  <c:v>107.95714285714321</c:v>
                </c:pt>
                <c:pt idx="176">
                  <c:v>108.20857142857179</c:v>
                </c:pt>
                <c:pt idx="177">
                  <c:v>108.46000000000036</c:v>
                </c:pt>
                <c:pt idx="178">
                  <c:v>108.71142857142894</c:v>
                </c:pt>
                <c:pt idx="179">
                  <c:v>108.96285714285752</c:v>
                </c:pt>
                <c:pt idx="180">
                  <c:v>109.21428571428609</c:v>
                </c:pt>
                <c:pt idx="181">
                  <c:v>109.46571428571467</c:v>
                </c:pt>
                <c:pt idx="182">
                  <c:v>109.71714285714324</c:v>
                </c:pt>
                <c:pt idx="183">
                  <c:v>109.96857142857182</c:v>
                </c:pt>
                <c:pt idx="184">
                  <c:v>110.2200000000004</c:v>
                </c:pt>
                <c:pt idx="185">
                  <c:v>110.47142857142897</c:v>
                </c:pt>
                <c:pt idx="186">
                  <c:v>110.72285714285755</c:v>
                </c:pt>
                <c:pt idx="187">
                  <c:v>110.97428571428613</c:v>
                </c:pt>
                <c:pt idx="188">
                  <c:v>111.2257142857147</c:v>
                </c:pt>
                <c:pt idx="189">
                  <c:v>111.47714285714328</c:v>
                </c:pt>
                <c:pt idx="190">
                  <c:v>111.72857142857185</c:v>
                </c:pt>
                <c:pt idx="191">
                  <c:v>111.98000000000043</c:v>
                </c:pt>
                <c:pt idx="192">
                  <c:v>112.23142857142901</c:v>
                </c:pt>
                <c:pt idx="193">
                  <c:v>112.48285714285758</c:v>
                </c:pt>
                <c:pt idx="194">
                  <c:v>112.73428571428616</c:v>
                </c:pt>
                <c:pt idx="195">
                  <c:v>112.98571428571474</c:v>
                </c:pt>
                <c:pt idx="196">
                  <c:v>113.23714285714331</c:v>
                </c:pt>
                <c:pt idx="197">
                  <c:v>113.48857142857189</c:v>
                </c:pt>
                <c:pt idx="198">
                  <c:v>113.74000000000046</c:v>
                </c:pt>
                <c:pt idx="199">
                  <c:v>113.99142857142904</c:v>
                </c:pt>
                <c:pt idx="200">
                  <c:v>114.24285714285762</c:v>
                </c:pt>
              </c:numCache>
            </c:numRef>
          </c:cat>
          <c:val>
            <c:numRef>
              <c:f>'SPERT® 2001-2025'!$HP$8:$PH$8</c:f>
              <c:numCache>
                <c:formatCode>General</c:formatCode>
                <c:ptCount val="201"/>
                <c:pt idx="0">
                  <c:v>6.3885251524990522E-5</c:v>
                </c:pt>
                <c:pt idx="1">
                  <c:v>7.3343631061639596E-5</c:v>
                </c:pt>
                <c:pt idx="2">
                  <c:v>8.4083854095758868E-5</c:v>
                </c:pt>
                <c:pt idx="3">
                  <c:v>9.6261188144214474E-5</c:v>
                </c:pt>
                <c:pt idx="4">
                  <c:v>1.1004700581927765E-4</c:v>
                </c:pt>
                <c:pt idx="5">
                  <c:v>1.2563008351342315E-4</c:v>
                </c:pt>
                <c:pt idx="6">
                  <c:v>1.4321795600431974E-4</c:v>
                </c:pt>
                <c:pt idx="7">
                  <c:v>1.6303832275466965E-4</c:v>
                </c:pt>
                <c:pt idx="8">
                  <c:v>1.8534050053627964E-4</c:v>
                </c:pt>
                <c:pt idx="9">
                  <c:v>2.1039691576500783E-4</c:v>
                </c:pt>
                <c:pt idx="10">
                  <c:v>2.3850462859613874E-4</c:v>
                </c:pt>
                <c:pt idx="11">
                  <c:v>2.6998687940322461E-4</c:v>
                </c:pt>
                <c:pt idx="12">
                  <c:v>3.0519464675445306E-4</c:v>
                </c:pt>
                <c:pt idx="13">
                  <c:v>3.4450820441831294E-4</c:v>
                </c:pt>
                <c:pt idx="14">
                  <c:v>3.88338663286234E-4</c:v>
                </c:pt>
                <c:pt idx="15">
                  <c:v>4.371294824078646E-4</c:v>
                </c:pt>
                <c:pt idx="16">
                  <c:v>4.9135793161127856E-4</c:v>
                </c:pt>
                <c:pt idx="17">
                  <c:v>5.5153648644473631E-4</c:v>
                </c:pt>
                <c:pt idx="18">
                  <c:v>6.1821413445043881E-4</c:v>
                </c:pt>
                <c:pt idx="19">
                  <c:v>6.9197757008838511E-4</c:v>
                </c:pt>
                <c:pt idx="20">
                  <c:v>7.7345225399689957E-4</c:v>
                </c:pt>
                <c:pt idx="21">
                  <c:v>8.6330331073498641E-4</c:v>
                </c:pt>
                <c:pt idx="22">
                  <c:v>9.622362377320504E-4</c:v>
                </c:pt>
                <c:pt idx="23">
                  <c:v>1.0709973969062574E-3</c:v>
                </c:pt>
                <c:pt idx="24">
                  <c:v>1.1903742593392197E-3</c:v>
                </c:pt>
                <c:pt idx="25">
                  <c:v>1.3211953725484815E-3</c:v>
                </c:pt>
                <c:pt idx="26">
                  <c:v>1.4643300193178264E-3</c:v>
                </c:pt>
                <c:pt idx="27">
                  <c:v>1.6206875367667285E-3</c:v>
                </c:pt>
                <c:pt idx="28">
                  <c:v>1.7912162644019276E-3</c:v>
                </c:pt>
                <c:pt idx="29">
                  <c:v>1.9769020903328519E-3</c:v>
                </c:pt>
                <c:pt idx="30">
                  <c:v>2.1787665656839489E-3</c:v>
                </c:pt>
                <c:pt idx="31">
                  <c:v>2.3978645585335146E-3</c:v>
                </c:pt>
                <c:pt idx="32">
                  <c:v>2.6352814204806617E-3</c:v>
                </c:pt>
                <c:pt idx="33">
                  <c:v>2.8921296412153024E-3</c:v>
                </c:pt>
                <c:pt idx="34">
                  <c:v>3.169544969262042E-3</c:v>
                </c:pt>
                <c:pt idx="35">
                  <c:v>3.4686819804032568E-3</c:v>
                </c:pt>
                <c:pt idx="36">
                  <c:v>3.7907090791690226E-3</c:v>
                </c:pt>
                <c:pt idx="37">
                  <c:v>4.1368029232139629E-3</c:v>
                </c:pt>
                <c:pt idx="38">
                  <c:v>4.5081422653783215E-3</c:v>
                </c:pt>
                <c:pt idx="39">
                  <c:v>4.9059012137380922E-3</c:v>
                </c:pt>
                <c:pt idx="40">
                  <c:v>5.3312419159639007E-3</c:v>
                </c:pt>
                <c:pt idx="41">
                  <c:v>5.7853066807975317E-3</c:v>
                </c:pt>
                <c:pt idx="42">
                  <c:v>6.2692095563757896E-3</c:v>
                </c:pt>
                <c:pt idx="43">
                  <c:v>6.7840273924306338E-3</c:v>
                </c:pt>
                <c:pt idx="44">
                  <c:v>7.3307904210092451E-3</c:v>
                </c:pt>
                <c:pt idx="45">
                  <c:v>7.9104723982144423E-3</c:v>
                </c:pt>
                <c:pt idx="46">
                  <c:v>8.5239803574813349E-3</c:v>
                </c:pt>
                <c:pt idx="47">
                  <c:v>9.1721440329887334E-3</c:v>
                </c:pt>
                <c:pt idx="48">
                  <c:v>9.8557050198515728E-3</c:v>
                </c:pt>
                <c:pt idx="49">
                  <c:v>1.0575305745646003E-2</c:v>
                </c:pt>
                <c:pt idx="50">
                  <c:v>1.1331478335466204E-2</c:v>
                </c:pt>
                <c:pt idx="51">
                  <c:v>1.2124633459981538E-2</c:v>
                </c:pt>
                <c:pt idx="52">
                  <c:v>1.2955049262730325E-2</c:v>
                </c:pt>
                <c:pt idx="53">
                  <c:v>1.3822860469027217E-2</c:v>
                </c:pt>
                <c:pt idx="54">
                  <c:v>1.4728047784248181E-2</c:v>
                </c:pt>
                <c:pt idx="55">
                  <c:v>1.5670427693767901E-2</c:v>
                </c:pt>
                <c:pt idx="56">
                  <c:v>1.6649642780338252E-2</c:v>
                </c:pt>
                <c:pt idx="57">
                  <c:v>1.7665152677101052E-2</c:v>
                </c:pt>
                <c:pt idx="58">
                  <c:v>1.8716225775617632E-2</c:v>
                </c:pt>
                <c:pt idx="59">
                  <c:v>1.9801931808179029E-2</c:v>
                </c:pt>
                <c:pt idx="60">
                  <c:v>2.0921135422151405E-2</c:v>
                </c:pt>
                <c:pt idx="61">
                  <c:v>2.207249086114697E-2</c:v>
                </c:pt>
                <c:pt idx="62">
                  <c:v>2.3254437863340686E-2</c:v>
                </c:pt>
                <c:pt idx="63">
                  <c:v>2.4465198881248679E-2</c:v>
                </c:pt>
                <c:pt idx="64">
                  <c:v>2.5702777719734834E-2</c:v>
                </c:pt>
                <c:pt idx="65">
                  <c:v>2.6964959679929915E-2</c:v>
                </c:pt>
                <c:pt idx="66">
                  <c:v>2.8249313286167758E-2</c:v>
                </c:pt>
                <c:pt idx="67">
                  <c:v>2.9553193661023304E-2</c:v>
                </c:pt>
                <c:pt idx="68">
                  <c:v>3.0873747600160196E-2</c:v>
                </c:pt>
                <c:pt idx="69">
                  <c:v>3.2207920384066925E-2</c:v>
                </c:pt>
                <c:pt idx="70">
                  <c:v>3.3552464348008362E-2</c:v>
                </c:pt>
                <c:pt idx="71">
                  <c:v>3.490394921479642E-2</c:v>
                </c:pt>
                <c:pt idx="72">
                  <c:v>3.6258774177460616E-2</c:v>
                </c:pt>
                <c:pt idx="73">
                  <c:v>3.7613181700768245E-2</c:v>
                </c:pt>
                <c:pt idx="74">
                  <c:v>3.8963272992013263E-2</c:v>
                </c:pt>
                <c:pt idx="75">
                  <c:v>4.0305025072784668E-2</c:v>
                </c:pt>
                <c:pt idx="76">
                  <c:v>4.163430936477501E-2</c:v>
                </c:pt>
                <c:pt idx="77">
                  <c:v>4.2946911684337861E-2</c:v>
                </c:pt>
                <c:pt idx="78">
                  <c:v>4.4238553522699169E-2</c:v>
                </c:pt>
                <c:pt idx="79">
                  <c:v>4.5504914471718449E-2</c:v>
                </c:pt>
                <c:pt idx="80">
                  <c:v>4.6741655639126772E-2</c:v>
                </c:pt>
                <c:pt idx="81">
                  <c:v>4.7944443882480085E-2</c:v>
                </c:pt>
                <c:pt idx="82">
                  <c:v>4.9108976677884025E-2</c:v>
                </c:pt>
                <c:pt idx="83">
                  <c:v>5.023100742808561E-2</c:v>
                </c:pt>
                <c:pt idx="84">
                  <c:v>5.1306371004981449E-2</c:v>
                </c:pt>
                <c:pt idx="85">
                  <c:v>5.2331009314134765E-2</c:v>
                </c:pt>
                <c:pt idx="86">
                  <c:v>5.3300996663672988E-2</c:v>
                </c:pt>
                <c:pt idx="87">
                  <c:v>5.4212564717071698E-2</c:v>
                </c:pt>
                <c:pt idx="88">
                  <c:v>5.5062126808909748E-2</c:v>
                </c:pt>
                <c:pt idx="89">
                  <c:v>5.5846301404759283E-2</c:v>
                </c:pt>
                <c:pt idx="90">
                  <c:v>5.6561934490975331E-2</c:v>
                </c:pt>
                <c:pt idx="91">
                  <c:v>5.7206120687257618E-2</c:v>
                </c:pt>
                <c:pt idx="92">
                  <c:v>5.777622288442489E-2</c:v>
                </c:pt>
                <c:pt idx="93">
                  <c:v>5.8269890221781334E-2</c:v>
                </c:pt>
                <c:pt idx="94">
                  <c:v>5.8685074232648723E-2</c:v>
                </c:pt>
                <c:pt idx="95">
                  <c:v>5.9020043002930386E-2</c:v>
                </c:pt>
                <c:pt idx="96">
                  <c:v>5.9273393205781927E-2</c:v>
                </c:pt>
                <c:pt idx="97">
                  <c:v>5.944405989537304E-2</c:v>
                </c:pt>
                <c:pt idx="98">
                  <c:v>5.9531323964097119E-2</c:v>
                </c:pt>
                <c:pt idx="99">
                  <c:v>5.9534817190157026E-2</c:v>
                </c:pt>
                <c:pt idx="100">
                  <c:v>5.9454524825948298E-2</c:v>
                </c:pt>
                <c:pt idx="101">
                  <c:v>5.9290785701778856E-2</c:v>
                </c:pt>
                <c:pt idx="102">
                  <c:v>5.9044289843904439E-2</c:v>
                </c:pt>
                <c:pt idx="103">
                  <c:v>5.8716073630312046E-2</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extLst>
            <c:ext xmlns:c16="http://schemas.microsoft.com/office/drawing/2014/chart" uri="{C3380CC4-5D6E-409C-BE32-E72D297353CC}">
              <c16:uniqueId val="{00000000-ACDA-4DA6-88B8-D1EE1463A594}"/>
            </c:ext>
          </c:extLst>
        </c:ser>
        <c:ser>
          <c:idx val="1"/>
          <c:order val="1"/>
          <c:spPr>
            <a:solidFill>
              <a:schemeClr val="accent1"/>
            </a:solidFill>
            <a:ln>
              <a:noFill/>
            </a:ln>
            <a:effectLst/>
          </c:spPr>
          <c:invertIfNegative val="0"/>
          <c:cat>
            <c:numRef>
              <c:f>'SPERT® 2001-2025'!$W$4:$HO$4</c:f>
              <c:numCache>
                <c:formatCode>#,##0_);\(#,##0\)</c:formatCode>
                <c:ptCount val="201"/>
                <c:pt idx="0">
                  <c:v>63.957142857142379</c:v>
                </c:pt>
                <c:pt idx="1">
                  <c:v>64.208571428570949</c:v>
                </c:pt>
                <c:pt idx="2">
                  <c:v>64.459999999999525</c:v>
                </c:pt>
                <c:pt idx="3">
                  <c:v>64.711428571428101</c:v>
                </c:pt>
                <c:pt idx="4">
                  <c:v>64.962857142856677</c:v>
                </c:pt>
                <c:pt idx="5">
                  <c:v>65.214285714285253</c:v>
                </c:pt>
                <c:pt idx="6">
                  <c:v>65.46571428571383</c:v>
                </c:pt>
                <c:pt idx="7">
                  <c:v>65.717142857142406</c:v>
                </c:pt>
                <c:pt idx="8">
                  <c:v>65.968571428570982</c:v>
                </c:pt>
                <c:pt idx="9">
                  <c:v>66.219999999999558</c:v>
                </c:pt>
                <c:pt idx="10">
                  <c:v>66.471428571428135</c:v>
                </c:pt>
                <c:pt idx="11">
                  <c:v>66.722857142856711</c:v>
                </c:pt>
                <c:pt idx="12">
                  <c:v>66.974285714285287</c:v>
                </c:pt>
                <c:pt idx="13">
                  <c:v>67.225714285713863</c:v>
                </c:pt>
                <c:pt idx="14">
                  <c:v>67.477142857142439</c:v>
                </c:pt>
                <c:pt idx="15">
                  <c:v>67.728571428571016</c:v>
                </c:pt>
                <c:pt idx="16">
                  <c:v>67.979999999999592</c:v>
                </c:pt>
                <c:pt idx="17">
                  <c:v>68.231428571428168</c:v>
                </c:pt>
                <c:pt idx="18">
                  <c:v>68.482857142856744</c:v>
                </c:pt>
                <c:pt idx="19">
                  <c:v>68.734285714285321</c:v>
                </c:pt>
                <c:pt idx="20">
                  <c:v>68.985714285713897</c:v>
                </c:pt>
                <c:pt idx="21">
                  <c:v>69.237142857142473</c:v>
                </c:pt>
                <c:pt idx="22">
                  <c:v>69.488571428571049</c:v>
                </c:pt>
                <c:pt idx="23">
                  <c:v>69.739999999999625</c:v>
                </c:pt>
                <c:pt idx="24">
                  <c:v>69.991428571428202</c:v>
                </c:pt>
                <c:pt idx="25">
                  <c:v>70.242857142856778</c:v>
                </c:pt>
                <c:pt idx="26">
                  <c:v>70.494285714285354</c:v>
                </c:pt>
                <c:pt idx="27">
                  <c:v>70.74571428571393</c:v>
                </c:pt>
                <c:pt idx="28">
                  <c:v>70.997142857142507</c:v>
                </c:pt>
                <c:pt idx="29">
                  <c:v>71.248571428571083</c:v>
                </c:pt>
                <c:pt idx="30">
                  <c:v>71.499999999999659</c:v>
                </c:pt>
                <c:pt idx="31">
                  <c:v>71.751428571428235</c:v>
                </c:pt>
                <c:pt idx="32">
                  <c:v>72.002857142856811</c:v>
                </c:pt>
                <c:pt idx="33">
                  <c:v>72.254285714285388</c:v>
                </c:pt>
                <c:pt idx="34">
                  <c:v>72.505714285713964</c:v>
                </c:pt>
                <c:pt idx="35">
                  <c:v>72.75714285714254</c:v>
                </c:pt>
                <c:pt idx="36">
                  <c:v>73.008571428571116</c:v>
                </c:pt>
                <c:pt idx="37">
                  <c:v>73.259999999999692</c:v>
                </c:pt>
                <c:pt idx="38">
                  <c:v>73.511428571428269</c:v>
                </c:pt>
                <c:pt idx="39">
                  <c:v>73.762857142856845</c:v>
                </c:pt>
                <c:pt idx="40">
                  <c:v>74.014285714285421</c:v>
                </c:pt>
                <c:pt idx="41">
                  <c:v>74.265714285713997</c:v>
                </c:pt>
                <c:pt idx="42">
                  <c:v>74.517142857142574</c:v>
                </c:pt>
                <c:pt idx="43">
                  <c:v>74.76857142857115</c:v>
                </c:pt>
                <c:pt idx="44">
                  <c:v>75.019999999999726</c:v>
                </c:pt>
                <c:pt idx="45">
                  <c:v>75.271428571428302</c:v>
                </c:pt>
                <c:pt idx="46">
                  <c:v>75.522857142856878</c:v>
                </c:pt>
                <c:pt idx="47">
                  <c:v>75.774285714285455</c:v>
                </c:pt>
                <c:pt idx="48">
                  <c:v>76.025714285714031</c:v>
                </c:pt>
                <c:pt idx="49">
                  <c:v>76.277142857142607</c:v>
                </c:pt>
                <c:pt idx="50">
                  <c:v>76.528571428571183</c:v>
                </c:pt>
                <c:pt idx="51">
                  <c:v>76.77999999999976</c:v>
                </c:pt>
                <c:pt idx="52">
                  <c:v>77.031428571428336</c:v>
                </c:pt>
                <c:pt idx="53">
                  <c:v>77.282857142856912</c:v>
                </c:pt>
                <c:pt idx="54">
                  <c:v>77.534285714285488</c:v>
                </c:pt>
                <c:pt idx="55">
                  <c:v>77.785714285714064</c:v>
                </c:pt>
                <c:pt idx="56">
                  <c:v>78.037142857142641</c:v>
                </c:pt>
                <c:pt idx="57">
                  <c:v>78.288571428571217</c:v>
                </c:pt>
                <c:pt idx="58">
                  <c:v>78.539999999999793</c:v>
                </c:pt>
                <c:pt idx="59">
                  <c:v>78.791428571428369</c:v>
                </c:pt>
                <c:pt idx="60">
                  <c:v>79.042857142856946</c:v>
                </c:pt>
                <c:pt idx="61">
                  <c:v>79.294285714285522</c:v>
                </c:pt>
                <c:pt idx="62">
                  <c:v>79.545714285714098</c:v>
                </c:pt>
                <c:pt idx="63">
                  <c:v>79.797142857142674</c:v>
                </c:pt>
                <c:pt idx="64">
                  <c:v>80.04857142857125</c:v>
                </c:pt>
                <c:pt idx="65">
                  <c:v>80.299999999999827</c:v>
                </c:pt>
                <c:pt idx="66">
                  <c:v>80.551428571428403</c:v>
                </c:pt>
                <c:pt idx="67">
                  <c:v>80.802857142856979</c:v>
                </c:pt>
                <c:pt idx="68">
                  <c:v>81.054285714285555</c:v>
                </c:pt>
                <c:pt idx="69">
                  <c:v>81.305714285714132</c:v>
                </c:pt>
                <c:pt idx="70">
                  <c:v>81.557142857142708</c:v>
                </c:pt>
                <c:pt idx="71">
                  <c:v>81.808571428571284</c:v>
                </c:pt>
                <c:pt idx="72">
                  <c:v>82.05999999999986</c:v>
                </c:pt>
                <c:pt idx="73">
                  <c:v>82.311428571428436</c:v>
                </c:pt>
                <c:pt idx="74">
                  <c:v>82.562857142857013</c:v>
                </c:pt>
                <c:pt idx="75">
                  <c:v>82.814285714285589</c:v>
                </c:pt>
                <c:pt idx="76">
                  <c:v>83.065714285714165</c:v>
                </c:pt>
                <c:pt idx="77">
                  <c:v>83.317142857142741</c:v>
                </c:pt>
                <c:pt idx="78">
                  <c:v>83.568571428571317</c:v>
                </c:pt>
                <c:pt idx="79">
                  <c:v>83.819999999999894</c:v>
                </c:pt>
                <c:pt idx="80">
                  <c:v>84.07142857142847</c:v>
                </c:pt>
                <c:pt idx="81">
                  <c:v>84.322857142857046</c:v>
                </c:pt>
                <c:pt idx="82">
                  <c:v>84.574285714285622</c:v>
                </c:pt>
                <c:pt idx="83">
                  <c:v>84.825714285714199</c:v>
                </c:pt>
                <c:pt idx="84">
                  <c:v>85.077142857142775</c:v>
                </c:pt>
                <c:pt idx="85">
                  <c:v>85.328571428571351</c:v>
                </c:pt>
                <c:pt idx="86">
                  <c:v>85.579999999999927</c:v>
                </c:pt>
                <c:pt idx="87">
                  <c:v>85.831428571428503</c:v>
                </c:pt>
                <c:pt idx="88">
                  <c:v>86.08285714285708</c:v>
                </c:pt>
                <c:pt idx="89">
                  <c:v>86.334285714285656</c:v>
                </c:pt>
                <c:pt idx="90">
                  <c:v>86.585714285714232</c:v>
                </c:pt>
                <c:pt idx="91">
                  <c:v>86.837142857142808</c:v>
                </c:pt>
                <c:pt idx="92">
                  <c:v>87.088571428571385</c:v>
                </c:pt>
                <c:pt idx="93">
                  <c:v>87.339999999999961</c:v>
                </c:pt>
                <c:pt idx="94">
                  <c:v>87.591428571428537</c:v>
                </c:pt>
                <c:pt idx="95">
                  <c:v>87.842857142857113</c:v>
                </c:pt>
                <c:pt idx="96">
                  <c:v>88.094285714285689</c:v>
                </c:pt>
                <c:pt idx="97">
                  <c:v>88.345714285714266</c:v>
                </c:pt>
                <c:pt idx="98">
                  <c:v>88.597142857142842</c:v>
                </c:pt>
                <c:pt idx="99">
                  <c:v>88.848571428571418</c:v>
                </c:pt>
                <c:pt idx="100">
                  <c:v>89.1</c:v>
                </c:pt>
                <c:pt idx="101">
                  <c:v>89.351428571428571</c:v>
                </c:pt>
                <c:pt idx="102">
                  <c:v>89.602857142857147</c:v>
                </c:pt>
                <c:pt idx="103">
                  <c:v>89.854285714285723</c:v>
                </c:pt>
                <c:pt idx="104">
                  <c:v>90.105714285714299</c:v>
                </c:pt>
                <c:pt idx="105">
                  <c:v>90.357142857142875</c:v>
                </c:pt>
                <c:pt idx="106">
                  <c:v>90.608571428571452</c:v>
                </c:pt>
                <c:pt idx="107">
                  <c:v>90.860000000000028</c:v>
                </c:pt>
                <c:pt idx="108">
                  <c:v>91.111428571428604</c:v>
                </c:pt>
                <c:pt idx="109">
                  <c:v>91.36285714285718</c:v>
                </c:pt>
                <c:pt idx="110">
                  <c:v>91.614285714285757</c:v>
                </c:pt>
                <c:pt idx="111">
                  <c:v>91.865714285714333</c:v>
                </c:pt>
                <c:pt idx="112">
                  <c:v>92.117142857142909</c:v>
                </c:pt>
                <c:pt idx="113">
                  <c:v>92.368571428571485</c:v>
                </c:pt>
                <c:pt idx="114">
                  <c:v>92.620000000000061</c:v>
                </c:pt>
                <c:pt idx="115">
                  <c:v>92.871428571428638</c:v>
                </c:pt>
                <c:pt idx="116">
                  <c:v>93.122857142857214</c:v>
                </c:pt>
                <c:pt idx="117">
                  <c:v>93.37428571428579</c:v>
                </c:pt>
                <c:pt idx="118">
                  <c:v>93.625714285714366</c:v>
                </c:pt>
                <c:pt idx="119">
                  <c:v>93.877142857142942</c:v>
                </c:pt>
                <c:pt idx="120">
                  <c:v>94.128571428571519</c:v>
                </c:pt>
                <c:pt idx="121">
                  <c:v>94.380000000000095</c:v>
                </c:pt>
                <c:pt idx="122">
                  <c:v>94.631428571428671</c:v>
                </c:pt>
                <c:pt idx="123">
                  <c:v>94.882857142857247</c:v>
                </c:pt>
                <c:pt idx="124">
                  <c:v>95.134285714285824</c:v>
                </c:pt>
                <c:pt idx="125">
                  <c:v>95.3857142857144</c:v>
                </c:pt>
                <c:pt idx="126">
                  <c:v>95.637142857142976</c:v>
                </c:pt>
                <c:pt idx="127">
                  <c:v>95.888571428571552</c:v>
                </c:pt>
                <c:pt idx="128">
                  <c:v>96.140000000000128</c:v>
                </c:pt>
                <c:pt idx="129">
                  <c:v>96.391428571428705</c:v>
                </c:pt>
                <c:pt idx="130">
                  <c:v>96.642857142857281</c:v>
                </c:pt>
                <c:pt idx="131">
                  <c:v>96.894285714285857</c:v>
                </c:pt>
                <c:pt idx="132">
                  <c:v>97.145714285714433</c:v>
                </c:pt>
                <c:pt idx="133">
                  <c:v>97.39714285714301</c:v>
                </c:pt>
                <c:pt idx="134">
                  <c:v>97.648571428571586</c:v>
                </c:pt>
                <c:pt idx="135">
                  <c:v>97.900000000000162</c:v>
                </c:pt>
                <c:pt idx="136">
                  <c:v>98.151428571428738</c:v>
                </c:pt>
                <c:pt idx="137">
                  <c:v>98.402857142857314</c:v>
                </c:pt>
                <c:pt idx="138">
                  <c:v>98.654285714285891</c:v>
                </c:pt>
                <c:pt idx="139">
                  <c:v>98.905714285714467</c:v>
                </c:pt>
                <c:pt idx="140">
                  <c:v>99.157142857143043</c:v>
                </c:pt>
                <c:pt idx="141">
                  <c:v>99.408571428571619</c:v>
                </c:pt>
                <c:pt idx="142">
                  <c:v>99.660000000000196</c:v>
                </c:pt>
                <c:pt idx="143">
                  <c:v>99.911428571428772</c:v>
                </c:pt>
                <c:pt idx="144">
                  <c:v>100.16285714285735</c:v>
                </c:pt>
                <c:pt idx="145">
                  <c:v>100.41428571428592</c:v>
                </c:pt>
                <c:pt idx="146">
                  <c:v>100.6657142857145</c:v>
                </c:pt>
                <c:pt idx="147">
                  <c:v>100.91714285714308</c:v>
                </c:pt>
                <c:pt idx="148">
                  <c:v>101.16857142857165</c:v>
                </c:pt>
                <c:pt idx="149">
                  <c:v>101.42000000000023</c:v>
                </c:pt>
                <c:pt idx="150">
                  <c:v>101.67142857142881</c:v>
                </c:pt>
                <c:pt idx="151">
                  <c:v>101.92285714285738</c:v>
                </c:pt>
                <c:pt idx="152">
                  <c:v>102.17428571428596</c:v>
                </c:pt>
                <c:pt idx="153">
                  <c:v>102.42571428571453</c:v>
                </c:pt>
                <c:pt idx="154">
                  <c:v>102.67714285714311</c:v>
                </c:pt>
                <c:pt idx="155">
                  <c:v>102.92857142857169</c:v>
                </c:pt>
                <c:pt idx="156">
                  <c:v>103.18000000000026</c:v>
                </c:pt>
                <c:pt idx="157">
                  <c:v>103.43142857142884</c:v>
                </c:pt>
                <c:pt idx="158">
                  <c:v>103.68285714285742</c:v>
                </c:pt>
                <c:pt idx="159">
                  <c:v>103.93428571428599</c:v>
                </c:pt>
                <c:pt idx="160">
                  <c:v>104.18571428571457</c:v>
                </c:pt>
                <c:pt idx="161">
                  <c:v>104.43714285714314</c:v>
                </c:pt>
                <c:pt idx="162">
                  <c:v>104.68857142857172</c:v>
                </c:pt>
                <c:pt idx="163">
                  <c:v>104.9400000000003</c:v>
                </c:pt>
                <c:pt idx="164">
                  <c:v>105.19142857142887</c:v>
                </c:pt>
                <c:pt idx="165">
                  <c:v>105.44285714285745</c:v>
                </c:pt>
                <c:pt idx="166">
                  <c:v>105.69428571428602</c:v>
                </c:pt>
                <c:pt idx="167">
                  <c:v>105.9457142857146</c:v>
                </c:pt>
                <c:pt idx="168">
                  <c:v>106.19714285714318</c:v>
                </c:pt>
                <c:pt idx="169">
                  <c:v>106.44857142857175</c:v>
                </c:pt>
                <c:pt idx="170">
                  <c:v>106.70000000000033</c:v>
                </c:pt>
                <c:pt idx="171">
                  <c:v>106.95142857142891</c:v>
                </c:pt>
                <c:pt idx="172">
                  <c:v>107.20285714285748</c:v>
                </c:pt>
                <c:pt idx="173">
                  <c:v>107.45428571428606</c:v>
                </c:pt>
                <c:pt idx="174">
                  <c:v>107.70571428571463</c:v>
                </c:pt>
                <c:pt idx="175">
                  <c:v>107.95714285714321</c:v>
                </c:pt>
                <c:pt idx="176">
                  <c:v>108.20857142857179</c:v>
                </c:pt>
                <c:pt idx="177">
                  <c:v>108.46000000000036</c:v>
                </c:pt>
                <c:pt idx="178">
                  <c:v>108.71142857142894</c:v>
                </c:pt>
                <c:pt idx="179">
                  <c:v>108.96285714285752</c:v>
                </c:pt>
                <c:pt idx="180">
                  <c:v>109.21428571428609</c:v>
                </c:pt>
                <c:pt idx="181">
                  <c:v>109.46571428571467</c:v>
                </c:pt>
                <c:pt idx="182">
                  <c:v>109.71714285714324</c:v>
                </c:pt>
                <c:pt idx="183">
                  <c:v>109.96857142857182</c:v>
                </c:pt>
                <c:pt idx="184">
                  <c:v>110.2200000000004</c:v>
                </c:pt>
                <c:pt idx="185">
                  <c:v>110.47142857142897</c:v>
                </c:pt>
                <c:pt idx="186">
                  <c:v>110.72285714285755</c:v>
                </c:pt>
                <c:pt idx="187">
                  <c:v>110.97428571428613</c:v>
                </c:pt>
                <c:pt idx="188">
                  <c:v>111.2257142857147</c:v>
                </c:pt>
                <c:pt idx="189">
                  <c:v>111.47714285714328</c:v>
                </c:pt>
                <c:pt idx="190">
                  <c:v>111.72857142857185</c:v>
                </c:pt>
                <c:pt idx="191">
                  <c:v>111.98000000000043</c:v>
                </c:pt>
                <c:pt idx="192">
                  <c:v>112.23142857142901</c:v>
                </c:pt>
                <c:pt idx="193">
                  <c:v>112.48285714285758</c:v>
                </c:pt>
                <c:pt idx="194">
                  <c:v>112.73428571428616</c:v>
                </c:pt>
                <c:pt idx="195">
                  <c:v>112.98571428571474</c:v>
                </c:pt>
                <c:pt idx="196">
                  <c:v>113.23714285714331</c:v>
                </c:pt>
                <c:pt idx="197">
                  <c:v>113.48857142857189</c:v>
                </c:pt>
                <c:pt idx="198">
                  <c:v>113.74000000000046</c:v>
                </c:pt>
                <c:pt idx="199">
                  <c:v>113.99142857142904</c:v>
                </c:pt>
                <c:pt idx="200">
                  <c:v>114.24285714285762</c:v>
                </c:pt>
              </c:numCache>
            </c:numRef>
          </c:cat>
          <c:val>
            <c:numRef>
              <c:f>'SPERT® 2001-2025'!$HP$9:$PH$9</c:f>
              <c:numCache>
                <c:formatCode>General</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5.8307512531840161E-2</c:v>
                </c:pt>
                <c:pt idx="105">
                  <c:v>5.7820311509780696E-2</c:v>
                </c:pt>
                <c:pt idx="106">
                  <c:v>5.7256493163767158E-2</c:v>
                </c:pt>
                <c:pt idx="107">
                  <c:v>5.6618383745235909E-2</c:v>
                </c:pt>
                <c:pt idx="108">
                  <c:v>5.5908597171788629E-2</c:v>
                </c:pt>
                <c:pt idx="109">
                  <c:v>5.5130017196142383E-2</c:v>
                </c:pt>
                <c:pt idx="110">
                  <c:v>5.4285777899814334E-2</c:v>
                </c:pt>
                <c:pt idx="111">
                  <c:v>5.3379242696062319E-2</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extLst>
            <c:ext xmlns:c16="http://schemas.microsoft.com/office/drawing/2014/chart" uri="{C3380CC4-5D6E-409C-BE32-E72D297353CC}">
              <c16:uniqueId val="{00000001-ACDA-4DA6-88B8-D1EE1463A594}"/>
            </c:ext>
          </c:extLst>
        </c:ser>
        <c:ser>
          <c:idx val="2"/>
          <c:order val="2"/>
          <c:spPr>
            <a:solidFill>
              <a:schemeClr val="accent2"/>
            </a:solidFill>
            <a:ln>
              <a:noFill/>
            </a:ln>
            <a:effectLst/>
          </c:spPr>
          <c:invertIfNegative val="0"/>
          <c:cat>
            <c:numRef>
              <c:f>'SPERT® 2001-2025'!$W$4:$HO$4</c:f>
              <c:numCache>
                <c:formatCode>#,##0_);\(#,##0\)</c:formatCode>
                <c:ptCount val="201"/>
                <c:pt idx="0">
                  <c:v>63.957142857142379</c:v>
                </c:pt>
                <c:pt idx="1">
                  <c:v>64.208571428570949</c:v>
                </c:pt>
                <c:pt idx="2">
                  <c:v>64.459999999999525</c:v>
                </c:pt>
                <c:pt idx="3">
                  <c:v>64.711428571428101</c:v>
                </c:pt>
                <c:pt idx="4">
                  <c:v>64.962857142856677</c:v>
                </c:pt>
                <c:pt idx="5">
                  <c:v>65.214285714285253</c:v>
                </c:pt>
                <c:pt idx="6">
                  <c:v>65.46571428571383</c:v>
                </c:pt>
                <c:pt idx="7">
                  <c:v>65.717142857142406</c:v>
                </c:pt>
                <c:pt idx="8">
                  <c:v>65.968571428570982</c:v>
                </c:pt>
                <c:pt idx="9">
                  <c:v>66.219999999999558</c:v>
                </c:pt>
                <c:pt idx="10">
                  <c:v>66.471428571428135</c:v>
                </c:pt>
                <c:pt idx="11">
                  <c:v>66.722857142856711</c:v>
                </c:pt>
                <c:pt idx="12">
                  <c:v>66.974285714285287</c:v>
                </c:pt>
                <c:pt idx="13">
                  <c:v>67.225714285713863</c:v>
                </c:pt>
                <c:pt idx="14">
                  <c:v>67.477142857142439</c:v>
                </c:pt>
                <c:pt idx="15">
                  <c:v>67.728571428571016</c:v>
                </c:pt>
                <c:pt idx="16">
                  <c:v>67.979999999999592</c:v>
                </c:pt>
                <c:pt idx="17">
                  <c:v>68.231428571428168</c:v>
                </c:pt>
                <c:pt idx="18">
                  <c:v>68.482857142856744</c:v>
                </c:pt>
                <c:pt idx="19">
                  <c:v>68.734285714285321</c:v>
                </c:pt>
                <c:pt idx="20">
                  <c:v>68.985714285713897</c:v>
                </c:pt>
                <c:pt idx="21">
                  <c:v>69.237142857142473</c:v>
                </c:pt>
                <c:pt idx="22">
                  <c:v>69.488571428571049</c:v>
                </c:pt>
                <c:pt idx="23">
                  <c:v>69.739999999999625</c:v>
                </c:pt>
                <c:pt idx="24">
                  <c:v>69.991428571428202</c:v>
                </c:pt>
                <c:pt idx="25">
                  <c:v>70.242857142856778</c:v>
                </c:pt>
                <c:pt idx="26">
                  <c:v>70.494285714285354</c:v>
                </c:pt>
                <c:pt idx="27">
                  <c:v>70.74571428571393</c:v>
                </c:pt>
                <c:pt idx="28">
                  <c:v>70.997142857142507</c:v>
                </c:pt>
                <c:pt idx="29">
                  <c:v>71.248571428571083</c:v>
                </c:pt>
                <c:pt idx="30">
                  <c:v>71.499999999999659</c:v>
                </c:pt>
                <c:pt idx="31">
                  <c:v>71.751428571428235</c:v>
                </c:pt>
                <c:pt idx="32">
                  <c:v>72.002857142856811</c:v>
                </c:pt>
                <c:pt idx="33">
                  <c:v>72.254285714285388</c:v>
                </c:pt>
                <c:pt idx="34">
                  <c:v>72.505714285713964</c:v>
                </c:pt>
                <c:pt idx="35">
                  <c:v>72.75714285714254</c:v>
                </c:pt>
                <c:pt idx="36">
                  <c:v>73.008571428571116</c:v>
                </c:pt>
                <c:pt idx="37">
                  <c:v>73.259999999999692</c:v>
                </c:pt>
                <c:pt idx="38">
                  <c:v>73.511428571428269</c:v>
                </c:pt>
                <c:pt idx="39">
                  <c:v>73.762857142856845</c:v>
                </c:pt>
                <c:pt idx="40">
                  <c:v>74.014285714285421</c:v>
                </c:pt>
                <c:pt idx="41">
                  <c:v>74.265714285713997</c:v>
                </c:pt>
                <c:pt idx="42">
                  <c:v>74.517142857142574</c:v>
                </c:pt>
                <c:pt idx="43">
                  <c:v>74.76857142857115</c:v>
                </c:pt>
                <c:pt idx="44">
                  <c:v>75.019999999999726</c:v>
                </c:pt>
                <c:pt idx="45">
                  <c:v>75.271428571428302</c:v>
                </c:pt>
                <c:pt idx="46">
                  <c:v>75.522857142856878</c:v>
                </c:pt>
                <c:pt idx="47">
                  <c:v>75.774285714285455</c:v>
                </c:pt>
                <c:pt idx="48">
                  <c:v>76.025714285714031</c:v>
                </c:pt>
                <c:pt idx="49">
                  <c:v>76.277142857142607</c:v>
                </c:pt>
                <c:pt idx="50">
                  <c:v>76.528571428571183</c:v>
                </c:pt>
                <c:pt idx="51">
                  <c:v>76.77999999999976</c:v>
                </c:pt>
                <c:pt idx="52">
                  <c:v>77.031428571428336</c:v>
                </c:pt>
                <c:pt idx="53">
                  <c:v>77.282857142856912</c:v>
                </c:pt>
                <c:pt idx="54">
                  <c:v>77.534285714285488</c:v>
                </c:pt>
                <c:pt idx="55">
                  <c:v>77.785714285714064</c:v>
                </c:pt>
                <c:pt idx="56">
                  <c:v>78.037142857142641</c:v>
                </c:pt>
                <c:pt idx="57">
                  <c:v>78.288571428571217</c:v>
                </c:pt>
                <c:pt idx="58">
                  <c:v>78.539999999999793</c:v>
                </c:pt>
                <c:pt idx="59">
                  <c:v>78.791428571428369</c:v>
                </c:pt>
                <c:pt idx="60">
                  <c:v>79.042857142856946</c:v>
                </c:pt>
                <c:pt idx="61">
                  <c:v>79.294285714285522</c:v>
                </c:pt>
                <c:pt idx="62">
                  <c:v>79.545714285714098</c:v>
                </c:pt>
                <c:pt idx="63">
                  <c:v>79.797142857142674</c:v>
                </c:pt>
                <c:pt idx="64">
                  <c:v>80.04857142857125</c:v>
                </c:pt>
                <c:pt idx="65">
                  <c:v>80.299999999999827</c:v>
                </c:pt>
                <c:pt idx="66">
                  <c:v>80.551428571428403</c:v>
                </c:pt>
                <c:pt idx="67">
                  <c:v>80.802857142856979</c:v>
                </c:pt>
                <c:pt idx="68">
                  <c:v>81.054285714285555</c:v>
                </c:pt>
                <c:pt idx="69">
                  <c:v>81.305714285714132</c:v>
                </c:pt>
                <c:pt idx="70">
                  <c:v>81.557142857142708</c:v>
                </c:pt>
                <c:pt idx="71">
                  <c:v>81.808571428571284</c:v>
                </c:pt>
                <c:pt idx="72">
                  <c:v>82.05999999999986</c:v>
                </c:pt>
                <c:pt idx="73">
                  <c:v>82.311428571428436</c:v>
                </c:pt>
                <c:pt idx="74">
                  <c:v>82.562857142857013</c:v>
                </c:pt>
                <c:pt idx="75">
                  <c:v>82.814285714285589</c:v>
                </c:pt>
                <c:pt idx="76">
                  <c:v>83.065714285714165</c:v>
                </c:pt>
                <c:pt idx="77">
                  <c:v>83.317142857142741</c:v>
                </c:pt>
                <c:pt idx="78">
                  <c:v>83.568571428571317</c:v>
                </c:pt>
                <c:pt idx="79">
                  <c:v>83.819999999999894</c:v>
                </c:pt>
                <c:pt idx="80">
                  <c:v>84.07142857142847</c:v>
                </c:pt>
                <c:pt idx="81">
                  <c:v>84.322857142857046</c:v>
                </c:pt>
                <c:pt idx="82">
                  <c:v>84.574285714285622</c:v>
                </c:pt>
                <c:pt idx="83">
                  <c:v>84.825714285714199</c:v>
                </c:pt>
                <c:pt idx="84">
                  <c:v>85.077142857142775</c:v>
                </c:pt>
                <c:pt idx="85">
                  <c:v>85.328571428571351</c:v>
                </c:pt>
                <c:pt idx="86">
                  <c:v>85.579999999999927</c:v>
                </c:pt>
                <c:pt idx="87">
                  <c:v>85.831428571428503</c:v>
                </c:pt>
                <c:pt idx="88">
                  <c:v>86.08285714285708</c:v>
                </c:pt>
                <c:pt idx="89">
                  <c:v>86.334285714285656</c:v>
                </c:pt>
                <c:pt idx="90">
                  <c:v>86.585714285714232</c:v>
                </c:pt>
                <c:pt idx="91">
                  <c:v>86.837142857142808</c:v>
                </c:pt>
                <c:pt idx="92">
                  <c:v>87.088571428571385</c:v>
                </c:pt>
                <c:pt idx="93">
                  <c:v>87.339999999999961</c:v>
                </c:pt>
                <c:pt idx="94">
                  <c:v>87.591428571428537</c:v>
                </c:pt>
                <c:pt idx="95">
                  <c:v>87.842857142857113</c:v>
                </c:pt>
                <c:pt idx="96">
                  <c:v>88.094285714285689</c:v>
                </c:pt>
                <c:pt idx="97">
                  <c:v>88.345714285714266</c:v>
                </c:pt>
                <c:pt idx="98">
                  <c:v>88.597142857142842</c:v>
                </c:pt>
                <c:pt idx="99">
                  <c:v>88.848571428571418</c:v>
                </c:pt>
                <c:pt idx="100">
                  <c:v>89.1</c:v>
                </c:pt>
                <c:pt idx="101">
                  <c:v>89.351428571428571</c:v>
                </c:pt>
                <c:pt idx="102">
                  <c:v>89.602857142857147</c:v>
                </c:pt>
                <c:pt idx="103">
                  <c:v>89.854285714285723</c:v>
                </c:pt>
                <c:pt idx="104">
                  <c:v>90.105714285714299</c:v>
                </c:pt>
                <c:pt idx="105">
                  <c:v>90.357142857142875</c:v>
                </c:pt>
                <c:pt idx="106">
                  <c:v>90.608571428571452</c:v>
                </c:pt>
                <c:pt idx="107">
                  <c:v>90.860000000000028</c:v>
                </c:pt>
                <c:pt idx="108">
                  <c:v>91.111428571428604</c:v>
                </c:pt>
                <c:pt idx="109">
                  <c:v>91.36285714285718</c:v>
                </c:pt>
                <c:pt idx="110">
                  <c:v>91.614285714285757</c:v>
                </c:pt>
                <c:pt idx="111">
                  <c:v>91.865714285714333</c:v>
                </c:pt>
                <c:pt idx="112">
                  <c:v>92.117142857142909</c:v>
                </c:pt>
                <c:pt idx="113">
                  <c:v>92.368571428571485</c:v>
                </c:pt>
                <c:pt idx="114">
                  <c:v>92.620000000000061</c:v>
                </c:pt>
                <c:pt idx="115">
                  <c:v>92.871428571428638</c:v>
                </c:pt>
                <c:pt idx="116">
                  <c:v>93.122857142857214</c:v>
                </c:pt>
                <c:pt idx="117">
                  <c:v>93.37428571428579</c:v>
                </c:pt>
                <c:pt idx="118">
                  <c:v>93.625714285714366</c:v>
                </c:pt>
                <c:pt idx="119">
                  <c:v>93.877142857142942</c:v>
                </c:pt>
                <c:pt idx="120">
                  <c:v>94.128571428571519</c:v>
                </c:pt>
                <c:pt idx="121">
                  <c:v>94.380000000000095</c:v>
                </c:pt>
                <c:pt idx="122">
                  <c:v>94.631428571428671</c:v>
                </c:pt>
                <c:pt idx="123">
                  <c:v>94.882857142857247</c:v>
                </c:pt>
                <c:pt idx="124">
                  <c:v>95.134285714285824</c:v>
                </c:pt>
                <c:pt idx="125">
                  <c:v>95.3857142857144</c:v>
                </c:pt>
                <c:pt idx="126">
                  <c:v>95.637142857142976</c:v>
                </c:pt>
                <c:pt idx="127">
                  <c:v>95.888571428571552</c:v>
                </c:pt>
                <c:pt idx="128">
                  <c:v>96.140000000000128</c:v>
                </c:pt>
                <c:pt idx="129">
                  <c:v>96.391428571428705</c:v>
                </c:pt>
                <c:pt idx="130">
                  <c:v>96.642857142857281</c:v>
                </c:pt>
                <c:pt idx="131">
                  <c:v>96.894285714285857</c:v>
                </c:pt>
                <c:pt idx="132">
                  <c:v>97.145714285714433</c:v>
                </c:pt>
                <c:pt idx="133">
                  <c:v>97.39714285714301</c:v>
                </c:pt>
                <c:pt idx="134">
                  <c:v>97.648571428571586</c:v>
                </c:pt>
                <c:pt idx="135">
                  <c:v>97.900000000000162</c:v>
                </c:pt>
                <c:pt idx="136">
                  <c:v>98.151428571428738</c:v>
                </c:pt>
                <c:pt idx="137">
                  <c:v>98.402857142857314</c:v>
                </c:pt>
                <c:pt idx="138">
                  <c:v>98.654285714285891</c:v>
                </c:pt>
                <c:pt idx="139">
                  <c:v>98.905714285714467</c:v>
                </c:pt>
                <c:pt idx="140">
                  <c:v>99.157142857143043</c:v>
                </c:pt>
                <c:pt idx="141">
                  <c:v>99.408571428571619</c:v>
                </c:pt>
                <c:pt idx="142">
                  <c:v>99.660000000000196</c:v>
                </c:pt>
                <c:pt idx="143">
                  <c:v>99.911428571428772</c:v>
                </c:pt>
                <c:pt idx="144">
                  <c:v>100.16285714285735</c:v>
                </c:pt>
                <c:pt idx="145">
                  <c:v>100.41428571428592</c:v>
                </c:pt>
                <c:pt idx="146">
                  <c:v>100.6657142857145</c:v>
                </c:pt>
                <c:pt idx="147">
                  <c:v>100.91714285714308</c:v>
                </c:pt>
                <c:pt idx="148">
                  <c:v>101.16857142857165</c:v>
                </c:pt>
                <c:pt idx="149">
                  <c:v>101.42000000000023</c:v>
                </c:pt>
                <c:pt idx="150">
                  <c:v>101.67142857142881</c:v>
                </c:pt>
                <c:pt idx="151">
                  <c:v>101.92285714285738</c:v>
                </c:pt>
                <c:pt idx="152">
                  <c:v>102.17428571428596</c:v>
                </c:pt>
                <c:pt idx="153">
                  <c:v>102.42571428571453</c:v>
                </c:pt>
                <c:pt idx="154">
                  <c:v>102.67714285714311</c:v>
                </c:pt>
                <c:pt idx="155">
                  <c:v>102.92857142857169</c:v>
                </c:pt>
                <c:pt idx="156">
                  <c:v>103.18000000000026</c:v>
                </c:pt>
                <c:pt idx="157">
                  <c:v>103.43142857142884</c:v>
                </c:pt>
                <c:pt idx="158">
                  <c:v>103.68285714285742</c:v>
                </c:pt>
                <c:pt idx="159">
                  <c:v>103.93428571428599</c:v>
                </c:pt>
                <c:pt idx="160">
                  <c:v>104.18571428571457</c:v>
                </c:pt>
                <c:pt idx="161">
                  <c:v>104.43714285714314</c:v>
                </c:pt>
                <c:pt idx="162">
                  <c:v>104.68857142857172</c:v>
                </c:pt>
                <c:pt idx="163">
                  <c:v>104.9400000000003</c:v>
                </c:pt>
                <c:pt idx="164">
                  <c:v>105.19142857142887</c:v>
                </c:pt>
                <c:pt idx="165">
                  <c:v>105.44285714285745</c:v>
                </c:pt>
                <c:pt idx="166">
                  <c:v>105.69428571428602</c:v>
                </c:pt>
                <c:pt idx="167">
                  <c:v>105.9457142857146</c:v>
                </c:pt>
                <c:pt idx="168">
                  <c:v>106.19714285714318</c:v>
                </c:pt>
                <c:pt idx="169">
                  <c:v>106.44857142857175</c:v>
                </c:pt>
                <c:pt idx="170">
                  <c:v>106.70000000000033</c:v>
                </c:pt>
                <c:pt idx="171">
                  <c:v>106.95142857142891</c:v>
                </c:pt>
                <c:pt idx="172">
                  <c:v>107.20285714285748</c:v>
                </c:pt>
                <c:pt idx="173">
                  <c:v>107.45428571428606</c:v>
                </c:pt>
                <c:pt idx="174">
                  <c:v>107.70571428571463</c:v>
                </c:pt>
                <c:pt idx="175">
                  <c:v>107.95714285714321</c:v>
                </c:pt>
                <c:pt idx="176">
                  <c:v>108.20857142857179</c:v>
                </c:pt>
                <c:pt idx="177">
                  <c:v>108.46000000000036</c:v>
                </c:pt>
                <c:pt idx="178">
                  <c:v>108.71142857142894</c:v>
                </c:pt>
                <c:pt idx="179">
                  <c:v>108.96285714285752</c:v>
                </c:pt>
                <c:pt idx="180">
                  <c:v>109.21428571428609</c:v>
                </c:pt>
                <c:pt idx="181">
                  <c:v>109.46571428571467</c:v>
                </c:pt>
                <c:pt idx="182">
                  <c:v>109.71714285714324</c:v>
                </c:pt>
                <c:pt idx="183">
                  <c:v>109.96857142857182</c:v>
                </c:pt>
                <c:pt idx="184">
                  <c:v>110.2200000000004</c:v>
                </c:pt>
                <c:pt idx="185">
                  <c:v>110.47142857142897</c:v>
                </c:pt>
                <c:pt idx="186">
                  <c:v>110.72285714285755</c:v>
                </c:pt>
                <c:pt idx="187">
                  <c:v>110.97428571428613</c:v>
                </c:pt>
                <c:pt idx="188">
                  <c:v>111.2257142857147</c:v>
                </c:pt>
                <c:pt idx="189">
                  <c:v>111.47714285714328</c:v>
                </c:pt>
                <c:pt idx="190">
                  <c:v>111.72857142857185</c:v>
                </c:pt>
                <c:pt idx="191">
                  <c:v>111.98000000000043</c:v>
                </c:pt>
                <c:pt idx="192">
                  <c:v>112.23142857142901</c:v>
                </c:pt>
                <c:pt idx="193">
                  <c:v>112.48285714285758</c:v>
                </c:pt>
                <c:pt idx="194">
                  <c:v>112.73428571428616</c:v>
                </c:pt>
                <c:pt idx="195">
                  <c:v>112.98571428571474</c:v>
                </c:pt>
                <c:pt idx="196">
                  <c:v>113.23714285714331</c:v>
                </c:pt>
                <c:pt idx="197">
                  <c:v>113.48857142857189</c:v>
                </c:pt>
                <c:pt idx="198">
                  <c:v>113.74000000000046</c:v>
                </c:pt>
                <c:pt idx="199">
                  <c:v>113.99142857142904</c:v>
                </c:pt>
                <c:pt idx="200">
                  <c:v>114.24285714285762</c:v>
                </c:pt>
              </c:numCache>
            </c:numRef>
          </c:cat>
          <c:val>
            <c:numRef>
              <c:f>'SPERT® 2001-2025'!$HP$10:$PH$10</c:f>
              <c:numCache>
                <c:formatCode>General</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5.2413982038735846E-2</c:v>
                </c:pt>
                <c:pt idx="113">
                  <c:v>5.1393750043460015E-2</c:v>
                </c:pt>
                <c:pt idx="114">
                  <c:v>5.0322460234890898E-2</c:v>
                </c:pt>
                <c:pt idx="115">
                  <c:v>4.9204160638591649E-2</c:v>
                </c:pt>
                <c:pt idx="116">
                  <c:v>4.8043008438367306E-2</c:v>
                </c:pt>
                <c:pt idx="117">
                  <c:v>4.6843244419681733E-2</c:v>
                </c:pt>
                <c:pt idx="118">
                  <c:v>4.5609167417115438E-2</c:v>
                </c:pt>
                <c:pt idx="119">
                  <c:v>4.4345108978794123E-2</c:v>
                </c:pt>
                <c:pt idx="120">
                  <c:v>4.3055408453441683E-2</c:v>
                </c:pt>
                <c:pt idx="121">
                  <c:v>4.1744388696333741E-2</c:v>
                </c:pt>
                <c:pt idx="122">
                  <c:v>4.0416332579118759E-2</c:v>
                </c:pt>
                <c:pt idx="123">
                  <c:v>3.9075460475427683E-2</c:v>
                </c:pt>
                <c:pt idx="124">
                  <c:v>3.7725908879621121E-2</c:v>
                </c:pt>
                <c:pt idx="125">
                  <c:v>3.6371710300151891E-2</c:v>
                </c:pt>
                <c:pt idx="126">
                  <c:v>3.5016774552089451E-2</c:v>
                </c:pt>
                <c:pt idx="127">
                  <c:v>3.3664871555605123E-2</c:v>
                </c:pt>
                <c:pt idx="128">
                  <c:v>3.2319615728901671E-2</c:v>
                </c:pt>
                <c:pt idx="129">
                  <c:v>3.098445204543623E-2</c:v>
                </c:pt>
                <c:pt idx="130">
                  <c:v>2.9662643806572759E-2</c:v>
                </c:pt>
                <c:pt idx="131">
                  <c:v>2.8357262162246408E-2</c:v>
                </c:pt>
                <c:pt idx="132">
                  <c:v>2.7071177394049222E-2</c:v>
                </c:pt>
                <c:pt idx="133">
                  <c:v>2.5807051957566031E-2</c:v>
                </c:pt>
                <c:pt idx="134">
                  <c:v>2.4567335263992088E-2</c:v>
                </c:pt>
                <c:pt idx="135">
                  <c:v>2.3354260165225332E-2</c:v>
                </c:pt>
                <c:pt idx="136">
                  <c:v>2.216984109189854E-2</c:v>
                </c:pt>
                <c:pt idx="137">
                  <c:v>2.1015873780330537E-2</c:v>
                </c:pt>
                <c:pt idx="138">
                  <c:v>1.989393651223988E-2</c:v>
                </c:pt>
                <c:pt idx="139">
                  <c:v>1.8805392780361429E-2</c:v>
                </c:pt>
                <c:pt idx="140">
                  <c:v>1.7751395283898238E-2</c:v>
                </c:pt>
                <c:pt idx="141">
                  <c:v>1.6732891150062837E-2</c:v>
                </c:pt>
                <c:pt idx="142">
                  <c:v>1.5750628271829079E-2</c:v>
                </c:pt>
                <c:pt idx="143">
                  <c:v>1.4805162647418831E-2</c:v>
                </c:pt>
                <c:pt idx="144">
                  <c:v>1.3896866603959465E-2</c:v>
                </c:pt>
                <c:pt idx="145">
                  <c:v>1.3025937786120045E-2</c:v>
                </c:pt>
                <c:pt idx="146">
                  <c:v>1.2192408790302358E-2</c:v>
                </c:pt>
                <c:pt idx="147">
                  <c:v>1.1396157326046704E-2</c:v>
                </c:pt>
                <c:pt idx="148">
                  <c:v>1.0636916788619522E-2</c:v>
                </c:pt>
                <c:pt idx="149">
                  <c:v>9.9142871301755569E-3</c:v>
                </c:pt>
                <c:pt idx="150">
                  <c:v>9.2277459213194676E-3</c:v>
                </c:pt>
                <c:pt idx="151">
                  <c:v>8.5766595002104949E-3</c:v>
                </c:pt>
                <c:pt idx="152">
                  <c:v>7.9602941124365025E-3</c:v>
                </c:pt>
                <c:pt idx="153">
                  <c:v>7.3778269516038796E-3</c:v>
                </c:pt>
                <c:pt idx="154">
                  <c:v>6.828357017822361E-3</c:v>
                </c:pt>
                <c:pt idx="155">
                  <c:v>6.3109157188843612E-3</c:v>
                </c:pt>
                <c:pt idx="156">
                  <c:v>5.8244771468267025E-3</c:v>
                </c:pt>
                <c:pt idx="157">
                  <c:v>5.36796797060293E-3</c:v>
                </c:pt>
                <c:pt idx="158">
                  <c:v>4.9402768936779168E-3</c:v>
                </c:pt>
                <c:pt idx="159">
                  <c:v>4.540263633381233E-3</c:v>
                </c:pt>
                <c:pt idx="160">
                  <c:v>4.1667673867290681E-3</c:v>
                </c:pt>
                <c:pt idx="161">
                  <c:v>3.8186147550623517E-3</c:v>
                </c:pt>
                <c:pt idx="162">
                  <c:v>3.494627107176677E-3</c:v>
                </c:pt>
                <c:pt idx="163">
                  <c:v>3.193627367574294E-3</c:v>
                </c:pt>
                <c:pt idx="164">
                  <c:v>2.9144462229952887E-3</c:v>
                </c:pt>
                <c:pt idx="165">
                  <c:v>2.6559277464408238E-3</c:v>
                </c:pt>
                <c:pt idx="166">
                  <c:v>2.4169344434522384E-3</c:v>
                </c:pt>
                <c:pt idx="167">
                  <c:v>2.196351730431791E-3</c:v>
                </c:pt>
                <c:pt idx="168">
                  <c:v>1.9930918592690064E-3</c:v>
                </c:pt>
                <c:pt idx="169">
                  <c:v>1.8060973064648539E-3</c:v>
                </c:pt>
                <c:pt idx="170">
                  <c:v>1.6343436483257144E-3</c:v>
                </c:pt>
                <c:pt idx="171">
                  <c:v>1.4768419466394634E-3</c:v>
                </c:pt>
                <c:pt idx="172">
                  <c:v>1.3326406715621218E-3</c:v>
                </c:pt>
                <c:pt idx="173">
                  <c:v>1.2008271902562912E-3</c:v>
                </c:pt>
                <c:pt idx="174">
                  <c:v>1.0805288511577668E-3</c:v>
                </c:pt>
                <c:pt idx="175">
                  <c:v>9.7091369463385814E-4</c:v>
                </c:pt>
                <c:pt idx="176">
                  <c:v>8.7119082126877628E-4</c:v>
                </c:pt>
                <c:pt idx="177">
                  <c:v>7.806104491031744E-4</c:v>
                </c:pt>
                <c:pt idx="178">
                  <c:v>6.9846369090307669E-4</c:v>
                </c:pt>
                <c:pt idx="179">
                  <c:v>6.2408208197586694E-4</c:v>
                </c:pt>
                <c:pt idx="180">
                  <c:v>5.5683688822532077E-4</c:v>
                </c:pt>
                <c:pt idx="181">
                  <c:v>4.9613822308167935E-4</c:v>
                </c:pt>
                <c:pt idx="182">
                  <c:v>4.4143400069298429E-4</c:v>
                </c:pt>
                <c:pt idx="183">
                  <c:v>3.9220875135592031E-4</c:v>
                </c:pt>
                <c:pt idx="184">
                  <c:v>3.4798232363191233E-4</c:v>
                </c:pt>
                <c:pt idx="185">
                  <c:v>3.0830849596904836E-4</c:v>
                </c:pt>
                <c:pt idx="186">
                  <c:v>2.7277351896205185E-4</c:v>
                </c:pt>
                <c:pt idx="187">
                  <c:v>2.4099460765821798E-4</c:v>
                </c:pt>
                <c:pt idx="188">
                  <c:v>2.1261840158147367E-4</c:v>
                </c:pt>
                <c:pt idx="189">
                  <c:v>1.8731940842155325E-4</c:v>
                </c:pt>
                <c:pt idx="190">
                  <c:v>1.6479844564000457E-4</c:v>
                </c:pt>
                <c:pt idx="191">
                  <c:v>1.4478109259607013E-4</c:v>
                </c:pt>
                <c:pt idx="192">
                  <c:v>1.2701616420758596E-4</c:v>
                </c:pt>
                <c:pt idx="193">
                  <c:v>1.1127421564656802E-4</c:v>
                </c:pt>
                <c:pt idx="194">
                  <c:v>9.734608613548019E-5</c:v>
                </c:pt>
                <c:pt idx="195">
                  <c:v>8.5041488565411097E-5</c:v>
                </c:pt>
                <c:pt idx="196">
                  <c:v>7.4187650406650941E-5</c:v>
                </c:pt>
                <c:pt idx="197">
                  <c:v>6.4628010228681148E-5</c:v>
                </c:pt>
                <c:pt idx="198">
                  <c:v>5.622097309192882E-5</c:v>
                </c:pt>
                <c:pt idx="199">
                  <c:v>4.8838727117856758E-5</c:v>
                </c:pt>
                <c:pt idx="200">
                  <c:v>4.2366122685818326E-5</c:v>
                </c:pt>
              </c:numCache>
            </c:numRef>
          </c:val>
          <c:extLst>
            <c:ext xmlns:c16="http://schemas.microsoft.com/office/drawing/2014/chart" uri="{C3380CC4-5D6E-409C-BE32-E72D297353CC}">
              <c16:uniqueId val="{00000002-ACDA-4DA6-88B8-D1EE1463A594}"/>
            </c:ext>
          </c:extLst>
        </c:ser>
        <c:dLbls>
          <c:showLegendKey val="0"/>
          <c:showVal val="0"/>
          <c:showCatName val="0"/>
          <c:showSerName val="0"/>
          <c:showPercent val="0"/>
          <c:showBubbleSize val="0"/>
        </c:dLbls>
        <c:gapWidth val="0"/>
        <c:overlap val="100"/>
        <c:axId val="613283808"/>
        <c:axId val="613280200"/>
      </c:barChart>
      <c:lineChart>
        <c:grouping val="standard"/>
        <c:varyColors val="0"/>
        <c:ser>
          <c:idx val="3"/>
          <c:order val="3"/>
          <c:spPr>
            <a:ln w="50800" cap="rnd">
              <a:solidFill>
                <a:schemeClr val="tx1">
                  <a:lumMod val="50000"/>
                  <a:lumOff val="50000"/>
                </a:schemeClr>
              </a:solidFill>
              <a:round/>
            </a:ln>
            <a:effectLst/>
          </c:spPr>
          <c:marker>
            <c:symbol val="none"/>
          </c:marker>
          <c:cat>
            <c:numRef>
              <c:f>'SPERT® 2001-2025'!$W$4:$DS$4</c:f>
              <c:numCache>
                <c:formatCode>#,##0_);\(#,##0\)</c:formatCode>
                <c:ptCount val="101"/>
                <c:pt idx="0">
                  <c:v>63.957142857142379</c:v>
                </c:pt>
                <c:pt idx="1">
                  <c:v>64.208571428570949</c:v>
                </c:pt>
                <c:pt idx="2">
                  <c:v>64.459999999999525</c:v>
                </c:pt>
                <c:pt idx="3">
                  <c:v>64.711428571428101</c:v>
                </c:pt>
                <c:pt idx="4">
                  <c:v>64.962857142856677</c:v>
                </c:pt>
                <c:pt idx="5">
                  <c:v>65.214285714285253</c:v>
                </c:pt>
                <c:pt idx="6">
                  <c:v>65.46571428571383</c:v>
                </c:pt>
                <c:pt idx="7">
                  <c:v>65.717142857142406</c:v>
                </c:pt>
                <c:pt idx="8">
                  <c:v>65.968571428570982</c:v>
                </c:pt>
                <c:pt idx="9">
                  <c:v>66.219999999999558</c:v>
                </c:pt>
                <c:pt idx="10">
                  <c:v>66.471428571428135</c:v>
                </c:pt>
                <c:pt idx="11">
                  <c:v>66.722857142856711</c:v>
                </c:pt>
                <c:pt idx="12">
                  <c:v>66.974285714285287</c:v>
                </c:pt>
                <c:pt idx="13">
                  <c:v>67.225714285713863</c:v>
                </c:pt>
                <c:pt idx="14">
                  <c:v>67.477142857142439</c:v>
                </c:pt>
                <c:pt idx="15">
                  <c:v>67.728571428571016</c:v>
                </c:pt>
                <c:pt idx="16">
                  <c:v>67.979999999999592</c:v>
                </c:pt>
                <c:pt idx="17">
                  <c:v>68.231428571428168</c:v>
                </c:pt>
                <c:pt idx="18">
                  <c:v>68.482857142856744</c:v>
                </c:pt>
                <c:pt idx="19">
                  <c:v>68.734285714285321</c:v>
                </c:pt>
                <c:pt idx="20">
                  <c:v>68.985714285713897</c:v>
                </c:pt>
                <c:pt idx="21">
                  <c:v>69.237142857142473</c:v>
                </c:pt>
                <c:pt idx="22">
                  <c:v>69.488571428571049</c:v>
                </c:pt>
                <c:pt idx="23">
                  <c:v>69.739999999999625</c:v>
                </c:pt>
                <c:pt idx="24">
                  <c:v>69.991428571428202</c:v>
                </c:pt>
                <c:pt idx="25">
                  <c:v>70.242857142856778</c:v>
                </c:pt>
                <c:pt idx="26">
                  <c:v>70.494285714285354</c:v>
                </c:pt>
                <c:pt idx="27">
                  <c:v>70.74571428571393</c:v>
                </c:pt>
                <c:pt idx="28">
                  <c:v>70.997142857142507</c:v>
                </c:pt>
                <c:pt idx="29">
                  <c:v>71.248571428571083</c:v>
                </c:pt>
                <c:pt idx="30">
                  <c:v>71.499999999999659</c:v>
                </c:pt>
                <c:pt idx="31">
                  <c:v>71.751428571428235</c:v>
                </c:pt>
                <c:pt idx="32">
                  <c:v>72.002857142856811</c:v>
                </c:pt>
                <c:pt idx="33">
                  <c:v>72.254285714285388</c:v>
                </c:pt>
                <c:pt idx="34">
                  <c:v>72.505714285713964</c:v>
                </c:pt>
                <c:pt idx="35">
                  <c:v>72.75714285714254</c:v>
                </c:pt>
                <c:pt idx="36">
                  <c:v>73.008571428571116</c:v>
                </c:pt>
                <c:pt idx="37">
                  <c:v>73.259999999999692</c:v>
                </c:pt>
                <c:pt idx="38">
                  <c:v>73.511428571428269</c:v>
                </c:pt>
                <c:pt idx="39">
                  <c:v>73.762857142856845</c:v>
                </c:pt>
                <c:pt idx="40">
                  <c:v>74.014285714285421</c:v>
                </c:pt>
                <c:pt idx="41">
                  <c:v>74.265714285713997</c:v>
                </c:pt>
                <c:pt idx="42">
                  <c:v>74.517142857142574</c:v>
                </c:pt>
                <c:pt idx="43">
                  <c:v>74.76857142857115</c:v>
                </c:pt>
                <c:pt idx="44">
                  <c:v>75.019999999999726</c:v>
                </c:pt>
                <c:pt idx="45">
                  <c:v>75.271428571428302</c:v>
                </c:pt>
                <c:pt idx="46">
                  <c:v>75.522857142856878</c:v>
                </c:pt>
                <c:pt idx="47">
                  <c:v>75.774285714285455</c:v>
                </c:pt>
                <c:pt idx="48">
                  <c:v>76.025714285714031</c:v>
                </c:pt>
                <c:pt idx="49">
                  <c:v>76.277142857142607</c:v>
                </c:pt>
                <c:pt idx="50">
                  <c:v>76.528571428571183</c:v>
                </c:pt>
                <c:pt idx="51">
                  <c:v>76.77999999999976</c:v>
                </c:pt>
                <c:pt idx="52">
                  <c:v>77.031428571428336</c:v>
                </c:pt>
                <c:pt idx="53">
                  <c:v>77.282857142856912</c:v>
                </c:pt>
                <c:pt idx="54">
                  <c:v>77.534285714285488</c:v>
                </c:pt>
                <c:pt idx="55">
                  <c:v>77.785714285714064</c:v>
                </c:pt>
                <c:pt idx="56">
                  <c:v>78.037142857142641</c:v>
                </c:pt>
                <c:pt idx="57">
                  <c:v>78.288571428571217</c:v>
                </c:pt>
                <c:pt idx="58">
                  <c:v>78.539999999999793</c:v>
                </c:pt>
                <c:pt idx="59">
                  <c:v>78.791428571428369</c:v>
                </c:pt>
                <c:pt idx="60">
                  <c:v>79.042857142856946</c:v>
                </c:pt>
                <c:pt idx="61">
                  <c:v>79.294285714285522</c:v>
                </c:pt>
                <c:pt idx="62">
                  <c:v>79.545714285714098</c:v>
                </c:pt>
                <c:pt idx="63">
                  <c:v>79.797142857142674</c:v>
                </c:pt>
                <c:pt idx="64">
                  <c:v>80.04857142857125</c:v>
                </c:pt>
                <c:pt idx="65">
                  <c:v>80.299999999999827</c:v>
                </c:pt>
                <c:pt idx="66">
                  <c:v>80.551428571428403</c:v>
                </c:pt>
                <c:pt idx="67">
                  <c:v>80.802857142856979</c:v>
                </c:pt>
                <c:pt idx="68">
                  <c:v>81.054285714285555</c:v>
                </c:pt>
                <c:pt idx="69">
                  <c:v>81.305714285714132</c:v>
                </c:pt>
                <c:pt idx="70">
                  <c:v>81.557142857142708</c:v>
                </c:pt>
                <c:pt idx="71">
                  <c:v>81.808571428571284</c:v>
                </c:pt>
                <c:pt idx="72">
                  <c:v>82.05999999999986</c:v>
                </c:pt>
                <c:pt idx="73">
                  <c:v>82.311428571428436</c:v>
                </c:pt>
                <c:pt idx="74">
                  <c:v>82.562857142857013</c:v>
                </c:pt>
                <c:pt idx="75">
                  <c:v>82.814285714285589</c:v>
                </c:pt>
                <c:pt idx="76">
                  <c:v>83.065714285714165</c:v>
                </c:pt>
                <c:pt idx="77">
                  <c:v>83.317142857142741</c:v>
                </c:pt>
                <c:pt idx="78">
                  <c:v>83.568571428571317</c:v>
                </c:pt>
                <c:pt idx="79">
                  <c:v>83.819999999999894</c:v>
                </c:pt>
                <c:pt idx="80">
                  <c:v>84.07142857142847</c:v>
                </c:pt>
                <c:pt idx="81">
                  <c:v>84.322857142857046</c:v>
                </c:pt>
                <c:pt idx="82">
                  <c:v>84.574285714285622</c:v>
                </c:pt>
                <c:pt idx="83">
                  <c:v>84.825714285714199</c:v>
                </c:pt>
                <c:pt idx="84">
                  <c:v>85.077142857142775</c:v>
                </c:pt>
                <c:pt idx="85">
                  <c:v>85.328571428571351</c:v>
                </c:pt>
                <c:pt idx="86">
                  <c:v>85.579999999999927</c:v>
                </c:pt>
                <c:pt idx="87">
                  <c:v>85.831428571428503</c:v>
                </c:pt>
                <c:pt idx="88">
                  <c:v>86.08285714285708</c:v>
                </c:pt>
                <c:pt idx="89">
                  <c:v>86.334285714285656</c:v>
                </c:pt>
                <c:pt idx="90">
                  <c:v>86.585714285714232</c:v>
                </c:pt>
                <c:pt idx="91">
                  <c:v>86.837142857142808</c:v>
                </c:pt>
                <c:pt idx="92">
                  <c:v>87.088571428571385</c:v>
                </c:pt>
                <c:pt idx="93">
                  <c:v>87.339999999999961</c:v>
                </c:pt>
                <c:pt idx="94">
                  <c:v>87.591428571428537</c:v>
                </c:pt>
                <c:pt idx="95">
                  <c:v>87.842857142857113</c:v>
                </c:pt>
                <c:pt idx="96">
                  <c:v>88.094285714285689</c:v>
                </c:pt>
                <c:pt idx="97">
                  <c:v>88.345714285714266</c:v>
                </c:pt>
                <c:pt idx="98">
                  <c:v>88.597142857142842</c:v>
                </c:pt>
                <c:pt idx="99">
                  <c:v>88.848571428571418</c:v>
                </c:pt>
                <c:pt idx="100">
                  <c:v>89.1</c:v>
                </c:pt>
              </c:numCache>
            </c:numRef>
          </c:cat>
          <c:val>
            <c:numRef>
              <c:f>'SPERT® 2001-2025'!$HP$11:$PH$11</c:f>
              <c:numCache>
                <c:formatCode>General</c:formatCode>
                <c:ptCount val="201"/>
                <c:pt idx="0">
                  <c:v>6.3885251524990522E-5</c:v>
                </c:pt>
                <c:pt idx="1">
                  <c:v>7.3343631061639596E-5</c:v>
                </c:pt>
                <c:pt idx="2">
                  <c:v>8.4083854095758868E-5</c:v>
                </c:pt>
                <c:pt idx="3">
                  <c:v>9.6261188144214474E-5</c:v>
                </c:pt>
                <c:pt idx="4">
                  <c:v>1.1004700581927765E-4</c:v>
                </c:pt>
                <c:pt idx="5">
                  <c:v>1.2563008351342315E-4</c:v>
                </c:pt>
                <c:pt idx="6">
                  <c:v>1.4321795600431974E-4</c:v>
                </c:pt>
                <c:pt idx="7">
                  <c:v>1.6303832275466965E-4</c:v>
                </c:pt>
                <c:pt idx="8">
                  <c:v>1.8534050053627964E-4</c:v>
                </c:pt>
                <c:pt idx="9">
                  <c:v>2.1039691576500783E-4</c:v>
                </c:pt>
                <c:pt idx="10">
                  <c:v>2.3850462859613874E-4</c:v>
                </c:pt>
                <c:pt idx="11">
                  <c:v>2.6998687940322461E-4</c:v>
                </c:pt>
                <c:pt idx="12">
                  <c:v>3.0519464675445306E-4</c:v>
                </c:pt>
                <c:pt idx="13">
                  <c:v>3.4450820441831294E-4</c:v>
                </c:pt>
                <c:pt idx="14">
                  <c:v>3.88338663286234E-4</c:v>
                </c:pt>
                <c:pt idx="15">
                  <c:v>4.371294824078646E-4</c:v>
                </c:pt>
                <c:pt idx="16">
                  <c:v>4.9135793161127856E-4</c:v>
                </c:pt>
                <c:pt idx="17">
                  <c:v>5.5153648644473631E-4</c:v>
                </c:pt>
                <c:pt idx="18">
                  <c:v>6.1821413445043881E-4</c:v>
                </c:pt>
                <c:pt idx="19">
                  <c:v>6.9197757008838511E-4</c:v>
                </c:pt>
                <c:pt idx="20">
                  <c:v>7.7345225399689957E-4</c:v>
                </c:pt>
                <c:pt idx="21">
                  <c:v>8.6330331073498641E-4</c:v>
                </c:pt>
                <c:pt idx="22">
                  <c:v>9.622362377320504E-4</c:v>
                </c:pt>
                <c:pt idx="23">
                  <c:v>1.0709973969062574E-3</c:v>
                </c:pt>
                <c:pt idx="24">
                  <c:v>1.1903742593392197E-3</c:v>
                </c:pt>
                <c:pt idx="25">
                  <c:v>1.3211953725484815E-3</c:v>
                </c:pt>
                <c:pt idx="26">
                  <c:v>1.4643300193178264E-3</c:v>
                </c:pt>
                <c:pt idx="27">
                  <c:v>1.6206875367667285E-3</c:v>
                </c:pt>
                <c:pt idx="28">
                  <c:v>1.7912162644019276E-3</c:v>
                </c:pt>
                <c:pt idx="29">
                  <c:v>1.9769020903328519E-3</c:v>
                </c:pt>
                <c:pt idx="30">
                  <c:v>2.1787665656839489E-3</c:v>
                </c:pt>
                <c:pt idx="31">
                  <c:v>2.3978645585335146E-3</c:v>
                </c:pt>
                <c:pt idx="32">
                  <c:v>2.6352814204806617E-3</c:v>
                </c:pt>
                <c:pt idx="33">
                  <c:v>2.8921296412153024E-3</c:v>
                </c:pt>
                <c:pt idx="34">
                  <c:v>3.169544969262042E-3</c:v>
                </c:pt>
                <c:pt idx="35">
                  <c:v>3.4686819804032568E-3</c:v>
                </c:pt>
                <c:pt idx="36">
                  <c:v>3.7907090791690226E-3</c:v>
                </c:pt>
                <c:pt idx="37">
                  <c:v>4.1368029232139629E-3</c:v>
                </c:pt>
                <c:pt idx="38">
                  <c:v>4.5081422653783215E-3</c:v>
                </c:pt>
                <c:pt idx="39">
                  <c:v>4.9059012137380922E-3</c:v>
                </c:pt>
                <c:pt idx="40">
                  <c:v>5.3312419159639007E-3</c:v>
                </c:pt>
                <c:pt idx="41">
                  <c:v>5.7853066807975317E-3</c:v>
                </c:pt>
                <c:pt idx="42">
                  <c:v>6.2692095563757896E-3</c:v>
                </c:pt>
                <c:pt idx="43">
                  <c:v>6.7840273924306338E-3</c:v>
                </c:pt>
                <c:pt idx="44">
                  <c:v>7.3307904210092451E-3</c:v>
                </c:pt>
                <c:pt idx="45">
                  <c:v>7.9104723982144423E-3</c:v>
                </c:pt>
                <c:pt idx="46">
                  <c:v>8.5239803574813349E-3</c:v>
                </c:pt>
                <c:pt idx="47">
                  <c:v>9.1721440329887334E-3</c:v>
                </c:pt>
                <c:pt idx="48">
                  <c:v>9.8557050198515728E-3</c:v>
                </c:pt>
                <c:pt idx="49">
                  <c:v>1.0575305745646003E-2</c:v>
                </c:pt>
                <c:pt idx="50">
                  <c:v>1.1331478335466204E-2</c:v>
                </c:pt>
                <c:pt idx="51">
                  <c:v>1.2124633459981538E-2</c:v>
                </c:pt>
                <c:pt idx="52">
                  <c:v>1.2955049262730325E-2</c:v>
                </c:pt>
                <c:pt idx="53">
                  <c:v>1.3822860469027217E-2</c:v>
                </c:pt>
                <c:pt idx="54">
                  <c:v>1.4728047784248181E-2</c:v>
                </c:pt>
                <c:pt idx="55">
                  <c:v>1.5670427693767901E-2</c:v>
                </c:pt>
                <c:pt idx="56">
                  <c:v>1.6649642780338252E-2</c:v>
                </c:pt>
                <c:pt idx="57">
                  <c:v>1.7665152677101052E-2</c:v>
                </c:pt>
                <c:pt idx="58">
                  <c:v>1.8716225775617632E-2</c:v>
                </c:pt>
                <c:pt idx="59">
                  <c:v>1.9801931808179029E-2</c:v>
                </c:pt>
                <c:pt idx="60">
                  <c:v>2.0921135422151405E-2</c:v>
                </c:pt>
                <c:pt idx="61">
                  <c:v>2.207249086114697E-2</c:v>
                </c:pt>
                <c:pt idx="62">
                  <c:v>2.3254437863340686E-2</c:v>
                </c:pt>
                <c:pt idx="63">
                  <c:v>2.4465198881248679E-2</c:v>
                </c:pt>
                <c:pt idx="64">
                  <c:v>2.5702777719734834E-2</c:v>
                </c:pt>
                <c:pt idx="65">
                  <c:v>2.6964959679929915E-2</c:v>
                </c:pt>
                <c:pt idx="66">
                  <c:v>2.8249313286167758E-2</c:v>
                </c:pt>
                <c:pt idx="67">
                  <c:v>2.9553193661023304E-2</c:v>
                </c:pt>
                <c:pt idx="68">
                  <c:v>3.0873747600160196E-2</c:v>
                </c:pt>
                <c:pt idx="69">
                  <c:v>3.2207920384066925E-2</c:v>
                </c:pt>
                <c:pt idx="70">
                  <c:v>3.3552464348008362E-2</c:v>
                </c:pt>
                <c:pt idx="71">
                  <c:v>3.490394921479642E-2</c:v>
                </c:pt>
                <c:pt idx="72">
                  <c:v>3.6258774177460616E-2</c:v>
                </c:pt>
                <c:pt idx="73">
                  <c:v>3.7613181700768245E-2</c:v>
                </c:pt>
                <c:pt idx="74">
                  <c:v>3.8963272992013263E-2</c:v>
                </c:pt>
                <c:pt idx="75">
                  <c:v>4.0305025072784668E-2</c:v>
                </c:pt>
                <c:pt idx="76">
                  <c:v>4.163430936477501E-2</c:v>
                </c:pt>
                <c:pt idx="77">
                  <c:v>4.2946911684337861E-2</c:v>
                </c:pt>
                <c:pt idx="78">
                  <c:v>4.4238553522699169E-2</c:v>
                </c:pt>
                <c:pt idx="79">
                  <c:v>4.5504914471718449E-2</c:v>
                </c:pt>
                <c:pt idx="80">
                  <c:v>4.6741655639126772E-2</c:v>
                </c:pt>
                <c:pt idx="81">
                  <c:v>4.7944443882480085E-2</c:v>
                </c:pt>
                <c:pt idx="82">
                  <c:v>4.9108976677884025E-2</c:v>
                </c:pt>
                <c:pt idx="83">
                  <c:v>5.023100742808561E-2</c:v>
                </c:pt>
                <c:pt idx="84">
                  <c:v>5.1306371004981449E-2</c:v>
                </c:pt>
                <c:pt idx="85">
                  <c:v>5.2331009314134765E-2</c:v>
                </c:pt>
                <c:pt idx="86">
                  <c:v>5.3300996663672988E-2</c:v>
                </c:pt>
                <c:pt idx="87">
                  <c:v>5.4212564717071698E-2</c:v>
                </c:pt>
                <c:pt idx="88">
                  <c:v>5.5062126808909748E-2</c:v>
                </c:pt>
                <c:pt idx="89">
                  <c:v>5.5846301404759283E-2</c:v>
                </c:pt>
                <c:pt idx="90">
                  <c:v>5.6561934490975331E-2</c:v>
                </c:pt>
                <c:pt idx="91">
                  <c:v>5.7206120687257618E-2</c:v>
                </c:pt>
                <c:pt idx="92">
                  <c:v>5.777622288442489E-2</c:v>
                </c:pt>
                <c:pt idx="93">
                  <c:v>5.8269890221781334E-2</c:v>
                </c:pt>
                <c:pt idx="94">
                  <c:v>5.8685074232648723E-2</c:v>
                </c:pt>
                <c:pt idx="95">
                  <c:v>5.9020043002930386E-2</c:v>
                </c:pt>
                <c:pt idx="96">
                  <c:v>5.9273393205781927E-2</c:v>
                </c:pt>
                <c:pt idx="97">
                  <c:v>5.944405989537304E-2</c:v>
                </c:pt>
                <c:pt idx="98">
                  <c:v>5.9531323964097119E-2</c:v>
                </c:pt>
                <c:pt idx="99">
                  <c:v>5.9534817190157026E-2</c:v>
                </c:pt>
                <c:pt idx="100">
                  <c:v>5.9454524825948298E-2</c:v>
                </c:pt>
                <c:pt idx="101">
                  <c:v>5.9290785701778856E-2</c:v>
                </c:pt>
                <c:pt idx="102">
                  <c:v>5.9044289843904439E-2</c:v>
                </c:pt>
                <c:pt idx="103">
                  <c:v>5.8716073630312046E-2</c:v>
                </c:pt>
                <c:pt idx="104">
                  <c:v>5.8307512531840161E-2</c:v>
                </c:pt>
                <c:pt idx="105">
                  <c:v>5.7820311509780696E-2</c:v>
                </c:pt>
                <c:pt idx="106">
                  <c:v>5.7256493163767158E-2</c:v>
                </c:pt>
                <c:pt idx="107">
                  <c:v>5.6618383745235909E-2</c:v>
                </c:pt>
                <c:pt idx="108">
                  <c:v>5.5908597171788629E-2</c:v>
                </c:pt>
                <c:pt idx="109">
                  <c:v>5.5130017196142383E-2</c:v>
                </c:pt>
                <c:pt idx="110">
                  <c:v>5.4285777899814334E-2</c:v>
                </c:pt>
                <c:pt idx="111">
                  <c:v>5.3379242696062319E-2</c:v>
                </c:pt>
                <c:pt idx="112">
                  <c:v>5.2413982038735846E-2</c:v>
                </c:pt>
                <c:pt idx="113">
                  <c:v>5.1393750043460015E-2</c:v>
                </c:pt>
                <c:pt idx="114">
                  <c:v>5.0322460234890898E-2</c:v>
                </c:pt>
                <c:pt idx="115">
                  <c:v>4.9204160638591649E-2</c:v>
                </c:pt>
                <c:pt idx="116">
                  <c:v>4.8043008438367306E-2</c:v>
                </c:pt>
                <c:pt idx="117">
                  <c:v>4.6843244419681733E-2</c:v>
                </c:pt>
                <c:pt idx="118">
                  <c:v>4.5609167417115438E-2</c:v>
                </c:pt>
                <c:pt idx="119">
                  <c:v>4.4345108978794123E-2</c:v>
                </c:pt>
                <c:pt idx="120">
                  <c:v>4.3055408453441683E-2</c:v>
                </c:pt>
                <c:pt idx="121">
                  <c:v>4.1744388696333741E-2</c:v>
                </c:pt>
                <c:pt idx="122">
                  <c:v>4.0416332579118759E-2</c:v>
                </c:pt>
                <c:pt idx="123">
                  <c:v>3.9075460475427683E-2</c:v>
                </c:pt>
                <c:pt idx="124">
                  <c:v>3.7725908879621121E-2</c:v>
                </c:pt>
                <c:pt idx="125">
                  <c:v>3.6371710300151891E-2</c:v>
                </c:pt>
                <c:pt idx="126">
                  <c:v>3.5016774552089451E-2</c:v>
                </c:pt>
                <c:pt idx="127">
                  <c:v>3.3664871555605123E-2</c:v>
                </c:pt>
                <c:pt idx="128">
                  <c:v>3.2319615728901671E-2</c:v>
                </c:pt>
                <c:pt idx="129">
                  <c:v>3.098445204543623E-2</c:v>
                </c:pt>
                <c:pt idx="130">
                  <c:v>2.9662643806572759E-2</c:v>
                </c:pt>
                <c:pt idx="131">
                  <c:v>2.8357262162246408E-2</c:v>
                </c:pt>
                <c:pt idx="132">
                  <c:v>2.7071177394049222E-2</c:v>
                </c:pt>
                <c:pt idx="133">
                  <c:v>2.5807051957566031E-2</c:v>
                </c:pt>
                <c:pt idx="134">
                  <c:v>2.4567335263992088E-2</c:v>
                </c:pt>
                <c:pt idx="135">
                  <c:v>2.3354260165225332E-2</c:v>
                </c:pt>
                <c:pt idx="136">
                  <c:v>2.216984109189854E-2</c:v>
                </c:pt>
                <c:pt idx="137">
                  <c:v>2.1015873780330537E-2</c:v>
                </c:pt>
                <c:pt idx="138">
                  <c:v>1.989393651223988E-2</c:v>
                </c:pt>
                <c:pt idx="139">
                  <c:v>1.8805392780361429E-2</c:v>
                </c:pt>
                <c:pt idx="140">
                  <c:v>1.7751395283898238E-2</c:v>
                </c:pt>
                <c:pt idx="141">
                  <c:v>1.6732891150062837E-2</c:v>
                </c:pt>
                <c:pt idx="142">
                  <c:v>1.5750628271829079E-2</c:v>
                </c:pt>
                <c:pt idx="143">
                  <c:v>1.4805162647418831E-2</c:v>
                </c:pt>
                <c:pt idx="144">
                  <c:v>1.3896866603959465E-2</c:v>
                </c:pt>
                <c:pt idx="145">
                  <c:v>1.3025937786120045E-2</c:v>
                </c:pt>
                <c:pt idx="146">
                  <c:v>1.2192408790302358E-2</c:v>
                </c:pt>
                <c:pt idx="147">
                  <c:v>1.1396157326046704E-2</c:v>
                </c:pt>
                <c:pt idx="148">
                  <c:v>1.0636916788619522E-2</c:v>
                </c:pt>
                <c:pt idx="149">
                  <c:v>9.9142871301755569E-3</c:v>
                </c:pt>
                <c:pt idx="150">
                  <c:v>9.2277459213194676E-3</c:v>
                </c:pt>
                <c:pt idx="151">
                  <c:v>8.5766595002104949E-3</c:v>
                </c:pt>
                <c:pt idx="152">
                  <c:v>7.9602941124365025E-3</c:v>
                </c:pt>
                <c:pt idx="153">
                  <c:v>7.3778269516038796E-3</c:v>
                </c:pt>
                <c:pt idx="154">
                  <c:v>6.828357017822361E-3</c:v>
                </c:pt>
                <c:pt idx="155">
                  <c:v>6.3109157188843612E-3</c:v>
                </c:pt>
                <c:pt idx="156">
                  <c:v>5.8244771468267025E-3</c:v>
                </c:pt>
                <c:pt idx="157">
                  <c:v>5.36796797060293E-3</c:v>
                </c:pt>
                <c:pt idx="158">
                  <c:v>4.9402768936779168E-3</c:v>
                </c:pt>
                <c:pt idx="159">
                  <c:v>4.540263633381233E-3</c:v>
                </c:pt>
                <c:pt idx="160">
                  <c:v>4.1667673867290681E-3</c:v>
                </c:pt>
                <c:pt idx="161">
                  <c:v>3.8186147550623517E-3</c:v>
                </c:pt>
                <c:pt idx="162">
                  <c:v>3.494627107176677E-3</c:v>
                </c:pt>
                <c:pt idx="163">
                  <c:v>3.193627367574294E-3</c:v>
                </c:pt>
                <c:pt idx="164">
                  <c:v>2.9144462229952887E-3</c:v>
                </c:pt>
                <c:pt idx="165">
                  <c:v>2.6559277464408238E-3</c:v>
                </c:pt>
                <c:pt idx="166">
                  <c:v>2.4169344434522384E-3</c:v>
                </c:pt>
                <c:pt idx="167">
                  <c:v>2.196351730431791E-3</c:v>
                </c:pt>
                <c:pt idx="168">
                  <c:v>1.9930918592690064E-3</c:v>
                </c:pt>
                <c:pt idx="169">
                  <c:v>1.8060973064648539E-3</c:v>
                </c:pt>
                <c:pt idx="170">
                  <c:v>1.6343436483257144E-3</c:v>
                </c:pt>
                <c:pt idx="171">
                  <c:v>1.4768419466394634E-3</c:v>
                </c:pt>
                <c:pt idx="172">
                  <c:v>1.3326406715621218E-3</c:v>
                </c:pt>
                <c:pt idx="173">
                  <c:v>1.2008271902562912E-3</c:v>
                </c:pt>
                <c:pt idx="174">
                  <c:v>1.0805288511577668E-3</c:v>
                </c:pt>
                <c:pt idx="175">
                  <c:v>9.7091369463385814E-4</c:v>
                </c:pt>
                <c:pt idx="176">
                  <c:v>8.7119082126877628E-4</c:v>
                </c:pt>
                <c:pt idx="177">
                  <c:v>7.806104491031744E-4</c:v>
                </c:pt>
                <c:pt idx="178">
                  <c:v>6.9846369090307669E-4</c:v>
                </c:pt>
                <c:pt idx="179">
                  <c:v>6.2408208197586694E-4</c:v>
                </c:pt>
                <c:pt idx="180">
                  <c:v>5.5683688822532077E-4</c:v>
                </c:pt>
                <c:pt idx="181">
                  <c:v>4.9613822308167935E-4</c:v>
                </c:pt>
                <c:pt idx="182">
                  <c:v>4.4143400069298429E-4</c:v>
                </c:pt>
                <c:pt idx="183">
                  <c:v>3.9220875135592031E-4</c:v>
                </c:pt>
                <c:pt idx="184">
                  <c:v>3.4798232363191233E-4</c:v>
                </c:pt>
                <c:pt idx="185">
                  <c:v>3.0830849596904836E-4</c:v>
                </c:pt>
                <c:pt idx="186">
                  <c:v>2.7277351896205185E-4</c:v>
                </c:pt>
                <c:pt idx="187">
                  <c:v>2.4099460765821798E-4</c:v>
                </c:pt>
                <c:pt idx="188">
                  <c:v>2.1261840158147367E-4</c:v>
                </c:pt>
                <c:pt idx="189">
                  <c:v>1.8731940842155325E-4</c:v>
                </c:pt>
                <c:pt idx="190">
                  <c:v>1.6479844564000457E-4</c:v>
                </c:pt>
                <c:pt idx="191">
                  <c:v>1.4478109259607013E-4</c:v>
                </c:pt>
                <c:pt idx="192">
                  <c:v>1.2701616420758596E-4</c:v>
                </c:pt>
                <c:pt idx="193">
                  <c:v>1.1127421564656802E-4</c:v>
                </c:pt>
                <c:pt idx="194">
                  <c:v>9.734608613548019E-5</c:v>
                </c:pt>
                <c:pt idx="195">
                  <c:v>8.5041488565411097E-5</c:v>
                </c:pt>
                <c:pt idx="196">
                  <c:v>7.4187650406650941E-5</c:v>
                </c:pt>
                <c:pt idx="197">
                  <c:v>6.4628010228681148E-5</c:v>
                </c:pt>
                <c:pt idx="198">
                  <c:v>5.622097309192882E-5</c:v>
                </c:pt>
                <c:pt idx="199">
                  <c:v>4.8838727117856758E-5</c:v>
                </c:pt>
                <c:pt idx="200">
                  <c:v>4.2366122685818326E-5</c:v>
                </c:pt>
              </c:numCache>
            </c:numRef>
          </c:val>
          <c:smooth val="0"/>
          <c:extLst>
            <c:ext xmlns:c16="http://schemas.microsoft.com/office/drawing/2014/chart" uri="{C3380CC4-5D6E-409C-BE32-E72D297353CC}">
              <c16:uniqueId val="{00000003-ACDA-4DA6-88B8-D1EE1463A594}"/>
            </c:ext>
          </c:extLst>
        </c:ser>
        <c:dLbls>
          <c:showLegendKey val="0"/>
          <c:showVal val="0"/>
          <c:showCatName val="0"/>
          <c:showSerName val="0"/>
          <c:showPercent val="0"/>
          <c:showBubbleSize val="0"/>
        </c:dLbls>
        <c:marker val="1"/>
        <c:smooth val="0"/>
        <c:axId val="613283808"/>
        <c:axId val="613280200"/>
      </c:lineChart>
      <c:catAx>
        <c:axId val="613283808"/>
        <c:scaling>
          <c:orientation val="minMax"/>
        </c:scaling>
        <c:delete val="0"/>
        <c:axPos val="b"/>
        <c:numFmt formatCode="#,##0_);\(#,##0\)"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3280200"/>
        <c:crosses val="autoZero"/>
        <c:auto val="1"/>
        <c:lblAlgn val="ctr"/>
        <c:lblOffset val="100"/>
        <c:noMultiLvlLbl val="0"/>
      </c:catAx>
      <c:valAx>
        <c:axId val="6132802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3283808"/>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gradFill>
      <a:gsLst>
        <a:gs pos="15000">
          <a:schemeClr val="accent3">
            <a:lumMod val="5000"/>
            <a:lumOff val="95000"/>
          </a:schemeClr>
        </a:gs>
        <a:gs pos="74000">
          <a:schemeClr val="accent3">
            <a:lumMod val="45000"/>
            <a:lumOff val="55000"/>
          </a:schemeClr>
        </a:gs>
        <a:gs pos="83000">
          <a:schemeClr val="accent3">
            <a:lumMod val="45000"/>
            <a:lumOff val="55000"/>
          </a:schemeClr>
        </a:gs>
        <a:gs pos="100000">
          <a:schemeClr val="accent3">
            <a:lumMod val="30000"/>
            <a:lumOff val="70000"/>
          </a:schemeClr>
        </a:gs>
      </a:gsLst>
      <a:lin ang="5400000" scaled="1"/>
    </a:gra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xml.rels><?xml version="1.0" encoding="UTF-8" standalone="yes"?>
<Relationships xmlns="http://schemas.openxmlformats.org/package/2006/relationships"><Relationship Id="rId2" Type="http://schemas.openxmlformats.org/officeDocument/2006/relationships/image" Target="../media/image8.emf"/><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2" Type="http://schemas.openxmlformats.org/officeDocument/2006/relationships/hyperlink" Target="https://www.statisticalpert.com/contact-me/" TargetMode="External"/><Relationship Id="rId1" Type="http://schemas.openxmlformats.org/officeDocument/2006/relationships/image" Target="../media/image9.jpeg"/></Relationships>
</file>

<file path=xl/drawings/_rels/drawing4.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media/image9.jpeg"/><Relationship Id="rId1" Type="http://schemas.openxmlformats.org/officeDocument/2006/relationships/chart" Target="../charts/chart1.xml"/><Relationship Id="rId4" Type="http://schemas.openxmlformats.org/officeDocument/2006/relationships/hyperlink" Target="https://www.statisticalpert.com/contact-me/" TargetMode="External"/></Relationships>
</file>

<file path=xl/drawings/_rels/drawing5.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image" Target="../media/image9.jpeg"/><Relationship Id="rId1" Type="http://schemas.openxmlformats.org/officeDocument/2006/relationships/chart" Target="../charts/chart3.xml"/><Relationship Id="rId4" Type="http://schemas.openxmlformats.org/officeDocument/2006/relationships/hyperlink" Target="https://www.statisticalpert.com/contact-me/" TargetMode="External"/></Relationships>
</file>

<file path=xl/drawings/_rels/drawing6.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image" Target="../media/image9.jpeg"/><Relationship Id="rId1" Type="http://schemas.openxmlformats.org/officeDocument/2006/relationships/chart" Target="../charts/chart5.xml"/><Relationship Id="rId4" Type="http://schemas.openxmlformats.org/officeDocument/2006/relationships/hyperlink" Target="https://www.statisticalpert.com/contact-me/" TargetMode="External"/></Relationships>
</file>

<file path=xl/drawings/_rels/drawing7.xml.rels><?xml version="1.0" encoding="UTF-8" standalone="yes"?>
<Relationships xmlns="http://schemas.openxmlformats.org/package/2006/relationships"><Relationship Id="rId1" Type="http://schemas.openxmlformats.org/officeDocument/2006/relationships/image" Target="../media/image9.jpeg"/></Relationships>
</file>

<file path=xl/drawings/_rels/drawing8.xml.rels><?xml version="1.0" encoding="UTF-8" standalone="yes"?>
<Relationships xmlns="http://schemas.openxmlformats.org/package/2006/relationships"><Relationship Id="rId2" Type="http://schemas.openxmlformats.org/officeDocument/2006/relationships/hyperlink" Target="https://www.statisticalpert.com/contact-me/" TargetMode="External"/><Relationship Id="rId1" Type="http://schemas.openxmlformats.org/officeDocument/2006/relationships/image" Target="../media/image9.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0.jpeg"/></Relationships>
</file>

<file path=xl/drawings/drawing1.xml><?xml version="1.0" encoding="utf-8"?>
<xdr:wsDr xmlns:xdr="http://schemas.openxmlformats.org/drawingml/2006/spreadsheetDrawing" xmlns:a="http://schemas.openxmlformats.org/drawingml/2006/main">
  <xdr:twoCellAnchor editAs="oneCell">
    <xdr:from>
      <xdr:col>0</xdr:col>
      <xdr:colOff>111226</xdr:colOff>
      <xdr:row>1</xdr:row>
      <xdr:rowOff>0</xdr:rowOff>
    </xdr:from>
    <xdr:to>
      <xdr:col>1</xdr:col>
      <xdr:colOff>0</xdr:colOff>
      <xdr:row>1</xdr:row>
      <xdr:rowOff>320803</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226" y="190500"/>
          <a:ext cx="488849" cy="320803"/>
        </a:xfrm>
        <a:prstGeom prst="rect">
          <a:avLst/>
        </a:prstGeom>
      </xdr:spPr>
    </xdr:pic>
    <xdr:clientData/>
  </xdr:twoCellAnchor>
  <xdr:twoCellAnchor editAs="oneCell">
    <xdr:from>
      <xdr:col>5</xdr:col>
      <xdr:colOff>447672</xdr:colOff>
      <xdr:row>2</xdr:row>
      <xdr:rowOff>31749</xdr:rowOff>
    </xdr:from>
    <xdr:to>
      <xdr:col>9</xdr:col>
      <xdr:colOff>447674</xdr:colOff>
      <xdr:row>11</xdr:row>
      <xdr:rowOff>168275</xdr:rowOff>
    </xdr:to>
    <xdr:pic>
      <xdr:nvPicPr>
        <xdr:cNvPr id="3" name="Picture 2">
          <a:extLst>
            <a:ext uri="{FF2B5EF4-FFF2-40B4-BE49-F238E27FC236}">
              <a16:creationId xmlns:a16="http://schemas.microsoft.com/office/drawing/2014/main" id="{FB7550D5-9E29-48BC-972E-EA8488607E1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886947" y="584199"/>
          <a:ext cx="2514602" cy="1885951"/>
        </a:xfrm>
        <a:prstGeom prst="rect">
          <a:avLst/>
        </a:prstGeom>
      </xdr:spPr>
    </xdr:pic>
    <xdr:clientData/>
  </xdr:twoCellAnchor>
  <xdr:twoCellAnchor editAs="oneCell">
    <xdr:from>
      <xdr:col>2</xdr:col>
      <xdr:colOff>73819</xdr:colOff>
      <xdr:row>2</xdr:row>
      <xdr:rowOff>19053</xdr:rowOff>
    </xdr:from>
    <xdr:to>
      <xdr:col>5</xdr:col>
      <xdr:colOff>371475</xdr:colOff>
      <xdr:row>17</xdr:row>
      <xdr:rowOff>57152</xdr:rowOff>
    </xdr:to>
    <xdr:pic>
      <xdr:nvPicPr>
        <xdr:cNvPr id="6" name="Picture 5">
          <a:extLst>
            <a:ext uri="{FF2B5EF4-FFF2-40B4-BE49-F238E27FC236}">
              <a16:creationId xmlns:a16="http://schemas.microsoft.com/office/drawing/2014/main" id="{201F5437-BF2A-4560-B138-258EF6BFAE8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rot="5400000">
          <a:off x="7263210" y="935437"/>
          <a:ext cx="2911474" cy="2183606"/>
        </a:xfrm>
        <a:prstGeom prst="rect">
          <a:avLst/>
        </a:prstGeom>
      </xdr:spPr>
    </xdr:pic>
    <xdr:clientData/>
  </xdr:twoCellAnchor>
  <xdr:twoCellAnchor editAs="oneCell">
    <xdr:from>
      <xdr:col>2</xdr:col>
      <xdr:colOff>73816</xdr:colOff>
      <xdr:row>17</xdr:row>
      <xdr:rowOff>136525</xdr:rowOff>
    </xdr:from>
    <xdr:to>
      <xdr:col>5</xdr:col>
      <xdr:colOff>393699</xdr:colOff>
      <xdr:row>33</xdr:row>
      <xdr:rowOff>80436</xdr:rowOff>
    </xdr:to>
    <xdr:pic>
      <xdr:nvPicPr>
        <xdr:cNvPr id="10" name="Picture 9">
          <a:extLst>
            <a:ext uri="{FF2B5EF4-FFF2-40B4-BE49-F238E27FC236}">
              <a16:creationId xmlns:a16="http://schemas.microsoft.com/office/drawing/2014/main" id="{D8EE7497-7C08-4845-A3E1-0A2D5E9004C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rot="5400000">
          <a:off x="7259502" y="3929989"/>
          <a:ext cx="2941111" cy="2205833"/>
        </a:xfrm>
        <a:prstGeom prst="rect">
          <a:avLst/>
        </a:prstGeom>
      </xdr:spPr>
    </xdr:pic>
    <xdr:clientData/>
  </xdr:twoCellAnchor>
  <xdr:twoCellAnchor editAs="oneCell">
    <xdr:from>
      <xdr:col>5</xdr:col>
      <xdr:colOff>447675</xdr:colOff>
      <xdr:row>12</xdr:row>
      <xdr:rowOff>76196</xdr:rowOff>
    </xdr:from>
    <xdr:to>
      <xdr:col>9</xdr:col>
      <xdr:colOff>454025</xdr:colOff>
      <xdr:row>22</xdr:row>
      <xdr:rowOff>93659</xdr:rowOff>
    </xdr:to>
    <xdr:pic>
      <xdr:nvPicPr>
        <xdr:cNvPr id="14" name="Picture 13">
          <a:extLst>
            <a:ext uri="{FF2B5EF4-FFF2-40B4-BE49-F238E27FC236}">
              <a16:creationId xmlns:a16="http://schemas.microsoft.com/office/drawing/2014/main" id="{9382D26F-8A2E-408D-A7B0-391DD84335F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0101263" y="2495546"/>
          <a:ext cx="2578100" cy="1827213"/>
        </a:xfrm>
        <a:prstGeom prst="rect">
          <a:avLst/>
        </a:prstGeom>
      </xdr:spPr>
    </xdr:pic>
    <xdr:clientData/>
  </xdr:twoCellAnchor>
  <xdr:twoCellAnchor editAs="oneCell">
    <xdr:from>
      <xdr:col>5</xdr:col>
      <xdr:colOff>452437</xdr:colOff>
      <xdr:row>23</xdr:row>
      <xdr:rowOff>31751</xdr:rowOff>
    </xdr:from>
    <xdr:to>
      <xdr:col>9</xdr:col>
      <xdr:colOff>490537</xdr:colOff>
      <xdr:row>33</xdr:row>
      <xdr:rowOff>73027</xdr:rowOff>
    </xdr:to>
    <xdr:pic>
      <xdr:nvPicPr>
        <xdr:cNvPr id="16" name="Picture 15">
          <a:extLst>
            <a:ext uri="{FF2B5EF4-FFF2-40B4-BE49-F238E27FC236}">
              <a16:creationId xmlns:a16="http://schemas.microsoft.com/office/drawing/2014/main" id="{D81E1F42-375F-46A9-AD30-47BF2CB68CC6}"/>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0106025" y="4441826"/>
          <a:ext cx="2609850" cy="1851026"/>
        </a:xfrm>
        <a:prstGeom prst="rect">
          <a:avLst/>
        </a:prstGeom>
      </xdr:spPr>
    </xdr:pic>
    <xdr:clientData/>
  </xdr:twoCellAnchor>
  <xdr:twoCellAnchor editAs="oneCell">
    <xdr:from>
      <xdr:col>3</xdr:col>
      <xdr:colOff>635000</xdr:colOff>
      <xdr:row>33</xdr:row>
      <xdr:rowOff>127792</xdr:rowOff>
    </xdr:from>
    <xdr:to>
      <xdr:col>8</xdr:col>
      <xdr:colOff>39688</xdr:colOff>
      <xdr:row>43</xdr:row>
      <xdr:rowOff>171447</xdr:rowOff>
    </xdr:to>
    <xdr:pic>
      <xdr:nvPicPr>
        <xdr:cNvPr id="20" name="Picture 19">
          <a:extLst>
            <a:ext uri="{FF2B5EF4-FFF2-40B4-BE49-F238E27FC236}">
              <a16:creationId xmlns:a16="http://schemas.microsoft.com/office/drawing/2014/main" id="{4F10EEB7-D65F-4FAB-AFA4-50AAE902D829}"/>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9002713" y="6347617"/>
          <a:ext cx="2619375" cy="185340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47625</xdr:colOff>
      <xdr:row>0</xdr:row>
      <xdr:rowOff>38101</xdr:rowOff>
    </xdr:from>
    <xdr:to>
      <xdr:col>0</xdr:col>
      <xdr:colOff>352427</xdr:colOff>
      <xdr:row>0</xdr:row>
      <xdr:rowOff>247650</xdr:rowOff>
    </xdr:to>
    <xdr:pic>
      <xdr:nvPicPr>
        <xdr:cNvPr id="2" name="Picture 1">
          <a:extLst>
            <a:ext uri="{FF2B5EF4-FFF2-40B4-BE49-F238E27FC236}">
              <a16:creationId xmlns:a16="http://schemas.microsoft.com/office/drawing/2014/main" id="{BA6284BA-C76B-41EE-9396-ACF160C6E4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38101"/>
          <a:ext cx="304802" cy="2095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111227</xdr:colOff>
      <xdr:row>0</xdr:row>
      <xdr:rowOff>181091</xdr:rowOff>
    </xdr:from>
    <xdr:to>
      <xdr:col>1</xdr:col>
      <xdr:colOff>28575</xdr:colOff>
      <xdr:row>1</xdr:row>
      <xdr:rowOff>313207</xdr:rowOff>
    </xdr:to>
    <xdr:pic>
      <xdr:nvPicPr>
        <xdr:cNvPr id="2" name="Picture 1">
          <a:extLst>
            <a:ext uri="{FF2B5EF4-FFF2-40B4-BE49-F238E27FC236}">
              <a16:creationId xmlns:a16="http://schemas.microsoft.com/office/drawing/2014/main" id="{0C69499E-CDE4-40C6-A64D-1D0EF6053D9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227" y="181091"/>
          <a:ext cx="517423" cy="322616"/>
        </a:xfrm>
        <a:prstGeom prst="rect">
          <a:avLst/>
        </a:prstGeom>
      </xdr:spPr>
    </xdr:pic>
    <xdr:clientData/>
  </xdr:twoCellAnchor>
  <xdr:twoCellAnchor editAs="oneCell">
    <xdr:from>
      <xdr:col>2</xdr:col>
      <xdr:colOff>260350</xdr:colOff>
      <xdr:row>2</xdr:row>
      <xdr:rowOff>76200</xdr:rowOff>
    </xdr:from>
    <xdr:to>
      <xdr:col>8</xdr:col>
      <xdr:colOff>466725</xdr:colOff>
      <xdr:row>24</xdr:row>
      <xdr:rowOff>127000</xdr:rowOff>
    </xdr:to>
    <xdr:pic>
      <xdr:nvPicPr>
        <xdr:cNvPr id="3" name="Picture 2">
          <a:extLst>
            <a:ext uri="{FF2B5EF4-FFF2-40B4-BE49-F238E27FC236}">
              <a16:creationId xmlns:a16="http://schemas.microsoft.com/office/drawing/2014/main" id="{E2872CD9-95F5-40B0-88DC-2D7ACCEE15C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813675" y="628650"/>
          <a:ext cx="3978275" cy="423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114299</xdr:colOff>
      <xdr:row>0</xdr:row>
      <xdr:rowOff>38100</xdr:rowOff>
    </xdr:from>
    <xdr:to>
      <xdr:col>1</xdr:col>
      <xdr:colOff>129542</xdr:colOff>
      <xdr:row>0</xdr:row>
      <xdr:rowOff>285750</xdr:rowOff>
    </xdr:to>
    <xdr:pic>
      <xdr:nvPicPr>
        <xdr:cNvPr id="2" name="Picture 1">
          <a:extLst>
            <a:ext uri="{FF2B5EF4-FFF2-40B4-BE49-F238E27FC236}">
              <a16:creationId xmlns:a16="http://schemas.microsoft.com/office/drawing/2014/main" id="{C927C336-3A95-4B04-9E6D-9C42B5BF3F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299" y="38100"/>
          <a:ext cx="396243" cy="247650"/>
        </a:xfrm>
        <a:prstGeom prst="rect">
          <a:avLst/>
        </a:prstGeom>
      </xdr:spPr>
    </xdr:pic>
    <xdr:clientData/>
  </xdr:twoCellAnchor>
  <xdr:twoCellAnchor editAs="oneCell">
    <xdr:from>
      <xdr:col>0</xdr:col>
      <xdr:colOff>114299</xdr:colOff>
      <xdr:row>0</xdr:row>
      <xdr:rowOff>38100</xdr:rowOff>
    </xdr:from>
    <xdr:to>
      <xdr:col>1</xdr:col>
      <xdr:colOff>129542</xdr:colOff>
      <xdr:row>0</xdr:row>
      <xdr:rowOff>285750</xdr:rowOff>
    </xdr:to>
    <xdr:pic>
      <xdr:nvPicPr>
        <xdr:cNvPr id="4" name="Picture 3">
          <a:extLst>
            <a:ext uri="{FF2B5EF4-FFF2-40B4-BE49-F238E27FC236}">
              <a16:creationId xmlns:a16="http://schemas.microsoft.com/office/drawing/2014/main" id="{FA804E31-5FF7-4432-9A3A-9507C6EB23F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299" y="38100"/>
          <a:ext cx="396243" cy="247650"/>
        </a:xfrm>
        <a:prstGeom prst="rect">
          <a:avLst/>
        </a:prstGeom>
      </xdr:spPr>
    </xdr:pic>
    <xdr:clientData/>
  </xdr:twoCellAnchor>
  <xdr:twoCellAnchor>
    <xdr:from>
      <xdr:col>4</xdr:col>
      <xdr:colOff>6350</xdr:colOff>
      <xdr:row>0</xdr:row>
      <xdr:rowOff>60325</xdr:rowOff>
    </xdr:from>
    <xdr:to>
      <xdr:col>5</xdr:col>
      <xdr:colOff>53975</xdr:colOff>
      <xdr:row>0</xdr:row>
      <xdr:rowOff>288925</xdr:rowOff>
    </xdr:to>
    <xdr:sp macro="" textlink="">
      <xdr:nvSpPr>
        <xdr:cNvPr id="5" name="Rectangle: Rounded Corners 4" descr="bda31ea8-2c60-48d3-b40f-8e01571f30eb">
          <a:hlinkClick xmlns:r="http://schemas.openxmlformats.org/officeDocument/2006/relationships" r:id="rId2"/>
          <a:extLst>
            <a:ext uri="{FF2B5EF4-FFF2-40B4-BE49-F238E27FC236}">
              <a16:creationId xmlns:a16="http://schemas.microsoft.com/office/drawing/2014/main" id="{613E6CD8-06C3-440B-AA62-176D924270B2}"/>
            </a:ext>
          </a:extLst>
        </xdr:cNvPr>
        <xdr:cNvSpPr/>
      </xdr:nvSpPr>
      <xdr:spPr>
        <a:xfrm>
          <a:off x="7962900" y="60325"/>
          <a:ext cx="1006475" cy="228600"/>
        </a:xfrm>
        <a:prstGeom prst="roundRect">
          <a:avLst/>
        </a:prstGeom>
        <a:solidFill>
          <a:srgbClr val="F15928"/>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bg1"/>
              </a:solidFill>
            </a:rPr>
            <a:t>Click for</a:t>
          </a:r>
          <a:r>
            <a:rPr lang="en-US" sz="1100" baseline="0">
              <a:solidFill>
                <a:schemeClr val="bg1"/>
              </a:solidFill>
            </a:rPr>
            <a:t> help</a:t>
          </a:r>
          <a:endParaRPr lang="en-US" sz="1100">
            <a:solidFill>
              <a:schemeClr val="bg1"/>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32657</xdr:colOff>
      <xdr:row>19</xdr:row>
      <xdr:rowOff>103869</xdr:rowOff>
    </xdr:from>
    <xdr:to>
      <xdr:col>6</xdr:col>
      <xdr:colOff>723900</xdr:colOff>
      <xdr:row>24</xdr:row>
      <xdr:rowOff>200025</xdr:rowOff>
    </xdr:to>
    <xdr:graphicFrame macro="">
      <xdr:nvGraphicFramePr>
        <xdr:cNvPr id="3" name="Chart 2">
          <a:extLst>
            <a:ext uri="{FF2B5EF4-FFF2-40B4-BE49-F238E27FC236}">
              <a16:creationId xmlns:a16="http://schemas.microsoft.com/office/drawing/2014/main" id="{8B5FAAFD-A1BE-44E5-B4E7-CB56380851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66675</xdr:colOff>
      <xdr:row>0</xdr:row>
      <xdr:rowOff>38100</xdr:rowOff>
    </xdr:from>
    <xdr:to>
      <xdr:col>0</xdr:col>
      <xdr:colOff>371477</xdr:colOff>
      <xdr:row>0</xdr:row>
      <xdr:rowOff>238125</xdr:rowOff>
    </xdr:to>
    <xdr:pic>
      <xdr:nvPicPr>
        <xdr:cNvPr id="5" name="Picture 4">
          <a:extLst>
            <a:ext uri="{FF2B5EF4-FFF2-40B4-BE49-F238E27FC236}">
              <a16:creationId xmlns:a16="http://schemas.microsoft.com/office/drawing/2014/main" id="{DBBDF1A2-384B-4BC2-B328-1EE43B5E1B6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675" y="38100"/>
          <a:ext cx="304802" cy="200025"/>
        </a:xfrm>
        <a:prstGeom prst="rect">
          <a:avLst/>
        </a:prstGeom>
      </xdr:spPr>
    </xdr:pic>
    <xdr:clientData/>
  </xdr:twoCellAnchor>
  <xdr:twoCellAnchor>
    <xdr:from>
      <xdr:col>7</xdr:col>
      <xdr:colOff>34925</xdr:colOff>
      <xdr:row>7</xdr:row>
      <xdr:rowOff>180975</xdr:rowOff>
    </xdr:from>
    <xdr:to>
      <xdr:col>16</xdr:col>
      <xdr:colOff>542926</xdr:colOff>
      <xdr:row>25</xdr:row>
      <xdr:rowOff>57150</xdr:rowOff>
    </xdr:to>
    <xdr:graphicFrame macro="">
      <xdr:nvGraphicFramePr>
        <xdr:cNvPr id="6" name="Chart 5">
          <a:extLst>
            <a:ext uri="{FF2B5EF4-FFF2-40B4-BE49-F238E27FC236}">
              <a16:creationId xmlns:a16="http://schemas.microsoft.com/office/drawing/2014/main" id="{054A8D96-75E4-4C3E-B7A5-9104937EC0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76200</xdr:colOff>
      <xdr:row>0</xdr:row>
      <xdr:rowOff>104775</xdr:rowOff>
    </xdr:from>
    <xdr:to>
      <xdr:col>10</xdr:col>
      <xdr:colOff>257175</xdr:colOff>
      <xdr:row>1</xdr:row>
      <xdr:rowOff>28575</xdr:rowOff>
    </xdr:to>
    <xdr:sp macro="" textlink="">
      <xdr:nvSpPr>
        <xdr:cNvPr id="7" name="Rectangle: Rounded Corners 6" descr="8b18d1d6-1d30-4c95-9a93-546ce92dc602">
          <a:hlinkClick xmlns:r="http://schemas.openxmlformats.org/officeDocument/2006/relationships" r:id="rId4"/>
          <a:extLst>
            <a:ext uri="{FF2B5EF4-FFF2-40B4-BE49-F238E27FC236}">
              <a16:creationId xmlns:a16="http://schemas.microsoft.com/office/drawing/2014/main" id="{3ABEFF46-5F68-4406-AE3A-124696E576E7}"/>
            </a:ext>
          </a:extLst>
        </xdr:cNvPr>
        <xdr:cNvSpPr/>
      </xdr:nvSpPr>
      <xdr:spPr>
        <a:xfrm>
          <a:off x="6972300" y="104775"/>
          <a:ext cx="962025" cy="228600"/>
        </a:xfrm>
        <a:prstGeom prst="roundRect">
          <a:avLst/>
        </a:prstGeom>
        <a:solidFill>
          <a:srgbClr val="F15928"/>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bg1"/>
              </a:solidFill>
            </a:rPr>
            <a:t>Click for</a:t>
          </a:r>
          <a:r>
            <a:rPr lang="en-US" sz="1100" baseline="0">
              <a:solidFill>
                <a:schemeClr val="bg1"/>
              </a:solidFill>
            </a:rPr>
            <a:t> help</a:t>
          </a:r>
          <a:endParaRPr lang="en-US" sz="1100">
            <a:solidFill>
              <a:schemeClr val="bg1"/>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32657</xdr:colOff>
      <xdr:row>19</xdr:row>
      <xdr:rowOff>103869</xdr:rowOff>
    </xdr:from>
    <xdr:to>
      <xdr:col>6</xdr:col>
      <xdr:colOff>723900</xdr:colOff>
      <xdr:row>24</xdr:row>
      <xdr:rowOff>200025</xdr:rowOff>
    </xdr:to>
    <xdr:graphicFrame macro="">
      <xdr:nvGraphicFramePr>
        <xdr:cNvPr id="2" name="Chart 1">
          <a:extLst>
            <a:ext uri="{FF2B5EF4-FFF2-40B4-BE49-F238E27FC236}">
              <a16:creationId xmlns:a16="http://schemas.microsoft.com/office/drawing/2014/main" id="{E774EFD2-4274-4A7D-8FB5-695CC04CC9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66675</xdr:colOff>
      <xdr:row>0</xdr:row>
      <xdr:rowOff>38100</xdr:rowOff>
    </xdr:from>
    <xdr:to>
      <xdr:col>0</xdr:col>
      <xdr:colOff>371477</xdr:colOff>
      <xdr:row>0</xdr:row>
      <xdr:rowOff>238125</xdr:rowOff>
    </xdr:to>
    <xdr:pic>
      <xdr:nvPicPr>
        <xdr:cNvPr id="3" name="Picture 2">
          <a:extLst>
            <a:ext uri="{FF2B5EF4-FFF2-40B4-BE49-F238E27FC236}">
              <a16:creationId xmlns:a16="http://schemas.microsoft.com/office/drawing/2014/main" id="{B14F6A03-0BD7-4C46-B631-8F200B3E389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675" y="38100"/>
          <a:ext cx="304802" cy="200025"/>
        </a:xfrm>
        <a:prstGeom prst="rect">
          <a:avLst/>
        </a:prstGeom>
      </xdr:spPr>
    </xdr:pic>
    <xdr:clientData/>
  </xdr:twoCellAnchor>
  <xdr:twoCellAnchor>
    <xdr:from>
      <xdr:col>7</xdr:col>
      <xdr:colOff>34925</xdr:colOff>
      <xdr:row>7</xdr:row>
      <xdr:rowOff>180975</xdr:rowOff>
    </xdr:from>
    <xdr:to>
      <xdr:col>16</xdr:col>
      <xdr:colOff>542926</xdr:colOff>
      <xdr:row>25</xdr:row>
      <xdr:rowOff>57150</xdr:rowOff>
    </xdr:to>
    <xdr:graphicFrame macro="">
      <xdr:nvGraphicFramePr>
        <xdr:cNvPr id="4" name="Chart 3">
          <a:extLst>
            <a:ext uri="{FF2B5EF4-FFF2-40B4-BE49-F238E27FC236}">
              <a16:creationId xmlns:a16="http://schemas.microsoft.com/office/drawing/2014/main" id="{164CCE3B-3372-4827-971C-7B1CD40689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76200</xdr:colOff>
      <xdr:row>0</xdr:row>
      <xdr:rowOff>104775</xdr:rowOff>
    </xdr:from>
    <xdr:to>
      <xdr:col>10</xdr:col>
      <xdr:colOff>257175</xdr:colOff>
      <xdr:row>1</xdr:row>
      <xdr:rowOff>28575</xdr:rowOff>
    </xdr:to>
    <xdr:sp macro="" textlink="">
      <xdr:nvSpPr>
        <xdr:cNvPr id="5" name="Rectangle: Rounded Corners 4" descr="62b7f6dc-2365-4fdb-93b2-532338f0f0ed">
          <a:hlinkClick xmlns:r="http://schemas.openxmlformats.org/officeDocument/2006/relationships" r:id="rId4"/>
          <a:extLst>
            <a:ext uri="{FF2B5EF4-FFF2-40B4-BE49-F238E27FC236}">
              <a16:creationId xmlns:a16="http://schemas.microsoft.com/office/drawing/2014/main" id="{2DE9778A-EC3D-458B-B0CE-67748867374F}"/>
            </a:ext>
          </a:extLst>
        </xdr:cNvPr>
        <xdr:cNvSpPr/>
      </xdr:nvSpPr>
      <xdr:spPr>
        <a:xfrm>
          <a:off x="7842250" y="104775"/>
          <a:ext cx="1000125" cy="228600"/>
        </a:xfrm>
        <a:prstGeom prst="roundRect">
          <a:avLst/>
        </a:prstGeom>
        <a:solidFill>
          <a:srgbClr val="F15928"/>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bg1"/>
              </a:solidFill>
            </a:rPr>
            <a:t>Click for</a:t>
          </a:r>
          <a:r>
            <a:rPr lang="en-US" sz="1100" baseline="0">
              <a:solidFill>
                <a:schemeClr val="bg1"/>
              </a:solidFill>
            </a:rPr>
            <a:t> help</a:t>
          </a:r>
          <a:endParaRPr lang="en-US" sz="1100">
            <a:solidFill>
              <a:schemeClr val="bg1"/>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32657</xdr:colOff>
      <xdr:row>19</xdr:row>
      <xdr:rowOff>103869</xdr:rowOff>
    </xdr:from>
    <xdr:to>
      <xdr:col>6</xdr:col>
      <xdr:colOff>723900</xdr:colOff>
      <xdr:row>24</xdr:row>
      <xdr:rowOff>200025</xdr:rowOff>
    </xdr:to>
    <xdr:graphicFrame macro="">
      <xdr:nvGraphicFramePr>
        <xdr:cNvPr id="2" name="Chart 1">
          <a:extLst>
            <a:ext uri="{FF2B5EF4-FFF2-40B4-BE49-F238E27FC236}">
              <a16:creationId xmlns:a16="http://schemas.microsoft.com/office/drawing/2014/main" id="{B5F9E97E-8383-4698-A985-EAAFE2E018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66675</xdr:colOff>
      <xdr:row>0</xdr:row>
      <xdr:rowOff>38100</xdr:rowOff>
    </xdr:from>
    <xdr:to>
      <xdr:col>0</xdr:col>
      <xdr:colOff>371477</xdr:colOff>
      <xdr:row>0</xdr:row>
      <xdr:rowOff>238125</xdr:rowOff>
    </xdr:to>
    <xdr:pic>
      <xdr:nvPicPr>
        <xdr:cNvPr id="3" name="Picture 2">
          <a:extLst>
            <a:ext uri="{FF2B5EF4-FFF2-40B4-BE49-F238E27FC236}">
              <a16:creationId xmlns:a16="http://schemas.microsoft.com/office/drawing/2014/main" id="{5829B0CD-48EB-4A5E-858B-1A4B7895525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675" y="38100"/>
          <a:ext cx="304802" cy="200025"/>
        </a:xfrm>
        <a:prstGeom prst="rect">
          <a:avLst/>
        </a:prstGeom>
      </xdr:spPr>
    </xdr:pic>
    <xdr:clientData/>
  </xdr:twoCellAnchor>
  <xdr:twoCellAnchor>
    <xdr:from>
      <xdr:col>7</xdr:col>
      <xdr:colOff>34925</xdr:colOff>
      <xdr:row>7</xdr:row>
      <xdr:rowOff>180975</xdr:rowOff>
    </xdr:from>
    <xdr:to>
      <xdr:col>16</xdr:col>
      <xdr:colOff>542926</xdr:colOff>
      <xdr:row>25</xdr:row>
      <xdr:rowOff>57150</xdr:rowOff>
    </xdr:to>
    <xdr:graphicFrame macro="">
      <xdr:nvGraphicFramePr>
        <xdr:cNvPr id="4" name="Chart 3">
          <a:extLst>
            <a:ext uri="{FF2B5EF4-FFF2-40B4-BE49-F238E27FC236}">
              <a16:creationId xmlns:a16="http://schemas.microsoft.com/office/drawing/2014/main" id="{889F3EAA-B889-41A3-8F1E-4630619EA1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76200</xdr:colOff>
      <xdr:row>0</xdr:row>
      <xdr:rowOff>104775</xdr:rowOff>
    </xdr:from>
    <xdr:to>
      <xdr:col>10</xdr:col>
      <xdr:colOff>257175</xdr:colOff>
      <xdr:row>1</xdr:row>
      <xdr:rowOff>28575</xdr:rowOff>
    </xdr:to>
    <xdr:sp macro="" textlink="">
      <xdr:nvSpPr>
        <xdr:cNvPr id="5" name="Rectangle: Rounded Corners 4" descr="e6dad5b9-12e6-46c4-a922-f1c1bbd14bd4">
          <a:hlinkClick xmlns:r="http://schemas.openxmlformats.org/officeDocument/2006/relationships" r:id="rId4"/>
          <a:extLst>
            <a:ext uri="{FF2B5EF4-FFF2-40B4-BE49-F238E27FC236}">
              <a16:creationId xmlns:a16="http://schemas.microsoft.com/office/drawing/2014/main" id="{3F363709-40E9-42F5-BEFA-6D4E5474634C}"/>
            </a:ext>
          </a:extLst>
        </xdr:cNvPr>
        <xdr:cNvSpPr/>
      </xdr:nvSpPr>
      <xdr:spPr>
        <a:xfrm>
          <a:off x="7842250" y="104775"/>
          <a:ext cx="1000125" cy="228600"/>
        </a:xfrm>
        <a:prstGeom prst="roundRect">
          <a:avLst/>
        </a:prstGeom>
        <a:solidFill>
          <a:srgbClr val="F15928"/>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bg1"/>
              </a:solidFill>
            </a:rPr>
            <a:t>Click for</a:t>
          </a:r>
          <a:r>
            <a:rPr lang="en-US" sz="1100" baseline="0">
              <a:solidFill>
                <a:schemeClr val="bg1"/>
              </a:solidFill>
            </a:rPr>
            <a:t> help</a:t>
          </a:r>
          <a:endParaRPr lang="en-US" sz="1100">
            <a:solidFill>
              <a:schemeClr val="bg1"/>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57150</xdr:colOff>
      <xdr:row>0</xdr:row>
      <xdr:rowOff>34925</xdr:rowOff>
    </xdr:from>
    <xdr:to>
      <xdr:col>0</xdr:col>
      <xdr:colOff>361952</xdr:colOff>
      <xdr:row>0</xdr:row>
      <xdr:rowOff>234950</xdr:rowOff>
    </xdr:to>
    <xdr:pic>
      <xdr:nvPicPr>
        <xdr:cNvPr id="2" name="Picture 1">
          <a:extLst>
            <a:ext uri="{FF2B5EF4-FFF2-40B4-BE49-F238E27FC236}">
              <a16:creationId xmlns:a16="http://schemas.microsoft.com/office/drawing/2014/main" id="{C0DD3A73-570A-4BAB-8EBC-F8E3CA69F9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34925"/>
          <a:ext cx="304802" cy="2000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47625</xdr:colOff>
      <xdr:row>0</xdr:row>
      <xdr:rowOff>38100</xdr:rowOff>
    </xdr:from>
    <xdr:to>
      <xdr:col>0</xdr:col>
      <xdr:colOff>352427</xdr:colOff>
      <xdr:row>1</xdr:row>
      <xdr:rowOff>9525</xdr:rowOff>
    </xdr:to>
    <xdr:pic>
      <xdr:nvPicPr>
        <xdr:cNvPr id="2" name="Picture 1">
          <a:extLst>
            <a:ext uri="{FF2B5EF4-FFF2-40B4-BE49-F238E27FC236}">
              <a16:creationId xmlns:a16="http://schemas.microsoft.com/office/drawing/2014/main" id="{8738D2FD-B9E0-491E-9046-CF92ED829C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38100"/>
          <a:ext cx="304802" cy="209550"/>
        </a:xfrm>
        <a:prstGeom prst="rect">
          <a:avLst/>
        </a:prstGeom>
      </xdr:spPr>
    </xdr:pic>
    <xdr:clientData/>
  </xdr:twoCellAnchor>
  <xdr:twoCellAnchor>
    <xdr:from>
      <xdr:col>6</xdr:col>
      <xdr:colOff>19050</xdr:colOff>
      <xdr:row>0</xdr:row>
      <xdr:rowOff>76200</xdr:rowOff>
    </xdr:from>
    <xdr:to>
      <xdr:col>7</xdr:col>
      <xdr:colOff>371475</xdr:colOff>
      <xdr:row>1</xdr:row>
      <xdr:rowOff>66675</xdr:rowOff>
    </xdr:to>
    <xdr:sp macro="" textlink="">
      <xdr:nvSpPr>
        <xdr:cNvPr id="3" name="Rectangle: Rounded Corners 2" descr="3971cd59-40e9-43fe-8a8d-4bc51294fed7">
          <a:hlinkClick xmlns:r="http://schemas.openxmlformats.org/officeDocument/2006/relationships" r:id="rId2"/>
          <a:extLst>
            <a:ext uri="{FF2B5EF4-FFF2-40B4-BE49-F238E27FC236}">
              <a16:creationId xmlns:a16="http://schemas.microsoft.com/office/drawing/2014/main" id="{FCF7A45A-69AA-4394-90EB-CC1F5871F835}"/>
            </a:ext>
          </a:extLst>
        </xdr:cNvPr>
        <xdr:cNvSpPr/>
      </xdr:nvSpPr>
      <xdr:spPr>
        <a:xfrm>
          <a:off x="5867400" y="76200"/>
          <a:ext cx="962025" cy="228600"/>
        </a:xfrm>
        <a:prstGeom prst="roundRect">
          <a:avLst/>
        </a:prstGeom>
        <a:solidFill>
          <a:srgbClr val="F15928"/>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100">
              <a:solidFill>
                <a:schemeClr val="bg1"/>
              </a:solidFill>
            </a:rPr>
            <a:t>Click for</a:t>
          </a:r>
          <a:r>
            <a:rPr lang="en-US" sz="1100" baseline="0">
              <a:solidFill>
                <a:schemeClr val="bg1"/>
              </a:solidFill>
            </a:rPr>
            <a:t> help</a:t>
          </a:r>
          <a:endParaRPr lang="en-US" sz="1100">
            <a:solidFill>
              <a:schemeClr val="bg1"/>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47625</xdr:colOff>
      <xdr:row>2</xdr:row>
      <xdr:rowOff>19050</xdr:rowOff>
    </xdr:from>
    <xdr:to>
      <xdr:col>3</xdr:col>
      <xdr:colOff>539774</xdr:colOff>
      <xdr:row>28</xdr:row>
      <xdr:rowOff>180975</xdr:rowOff>
    </xdr:to>
    <xdr:pic>
      <xdr:nvPicPr>
        <xdr:cNvPr id="10" name="Picture 9">
          <a:extLst>
            <a:ext uri="{FF2B5EF4-FFF2-40B4-BE49-F238E27FC236}">
              <a16:creationId xmlns:a16="http://schemas.microsoft.com/office/drawing/2014/main" id="{E8178DDB-F874-46C2-ACE2-601BE4734A9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571500"/>
          <a:ext cx="2320949" cy="51244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gnu.org/licenses/" TargetMode="External"/><Relationship Id="rId3" Type="http://schemas.openxmlformats.org/officeDocument/2006/relationships/hyperlink" Target="https://www.statisticalpert.com/contact-me/" TargetMode="External"/><Relationship Id="rId7" Type="http://schemas.openxmlformats.org/officeDocument/2006/relationships/hyperlink" Target="https://www.pluralsight.com/courses/estimate-projects-products" TargetMode="External"/><Relationship Id="rId12" Type="http://schemas.openxmlformats.org/officeDocument/2006/relationships/drawing" Target="../drawings/drawing1.xml"/><Relationship Id="rId2" Type="http://schemas.openxmlformats.org/officeDocument/2006/relationships/hyperlink" Target="http://www.pluralsight.com/courses/estimate-projects-using-statistics-and-excel" TargetMode="External"/><Relationship Id="rId1" Type="http://schemas.openxmlformats.org/officeDocument/2006/relationships/hyperlink" Target="https://www.statisticalpert.com/" TargetMode="External"/><Relationship Id="rId6" Type="http://schemas.openxmlformats.org/officeDocument/2006/relationships/hyperlink" Target="https://www.linkedin.com/in/famousdavis/" TargetMode="External"/><Relationship Id="rId11" Type="http://schemas.openxmlformats.org/officeDocument/2006/relationships/printerSettings" Target="../printerSettings/printerSettings1.bin"/><Relationship Id="rId5" Type="http://schemas.openxmlformats.org/officeDocument/2006/relationships/hyperlink" Target="https://www.statisticalpert.com/download-free-templates/" TargetMode="External"/><Relationship Id="rId10" Type="http://schemas.openxmlformats.org/officeDocument/2006/relationships/hyperlink" Target="https://home.nps.gov/subjects/cherryblossom/bloom-watch.htm" TargetMode="External"/><Relationship Id="rId4" Type="http://schemas.openxmlformats.org/officeDocument/2006/relationships/hyperlink" Target="https://www.youtube.com/statisticalpert" TargetMode="External"/><Relationship Id="rId9" Type="http://schemas.openxmlformats.org/officeDocument/2006/relationships/hyperlink" Target="https://cherryblossomwatch.com/"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statisticalpert.com/download-free-templates/" TargetMode="External"/><Relationship Id="rId2" Type="http://schemas.openxmlformats.org/officeDocument/2006/relationships/hyperlink" Target="https://www.pluralsight.com/courses/estimate-projects-products" TargetMode="External"/><Relationship Id="rId1" Type="http://schemas.openxmlformats.org/officeDocument/2006/relationships/hyperlink" Target="https://www.statisticalpert.com/"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www.youtube.com/statisticalpert" TargetMode="External"/></Relationships>
</file>

<file path=xl/worksheets/_rels/sheet3.xml.rels><?xml version="1.0" encoding="UTF-8" standalone="yes"?>
<Relationships xmlns="http://schemas.openxmlformats.org/package/2006/relationships"><Relationship Id="rId8" Type="http://schemas.openxmlformats.org/officeDocument/2006/relationships/drawing" Target="../drawings/drawing3.xml"/><Relationship Id="rId3" Type="http://schemas.openxmlformats.org/officeDocument/2006/relationships/hyperlink" Target="https://www.youtube.com/statisticalpert/" TargetMode="External"/><Relationship Id="rId7" Type="http://schemas.openxmlformats.org/officeDocument/2006/relationships/printerSettings" Target="../printerSettings/printerSettings3.bin"/><Relationship Id="rId2" Type="http://schemas.openxmlformats.org/officeDocument/2006/relationships/hyperlink" Target="https://www.pluralsight.com/courses/estimate-projects-products" TargetMode="External"/><Relationship Id="rId1" Type="http://schemas.openxmlformats.org/officeDocument/2006/relationships/hyperlink" Target="https://www.statisticalpert.com/" TargetMode="External"/><Relationship Id="rId6" Type="http://schemas.openxmlformats.org/officeDocument/2006/relationships/hyperlink" Target="https://www.statisticalpert.com/download-free-templates/" TargetMode="External"/><Relationship Id="rId5" Type="http://schemas.openxmlformats.org/officeDocument/2006/relationships/hyperlink" Target="https://www.gnu.org/licenses/" TargetMode="External"/><Relationship Id="rId4" Type="http://schemas.openxmlformats.org/officeDocument/2006/relationships/hyperlink" Target="https://www.linkedin.com/in/famousdavis/"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gnu.org/licenses/" TargetMode="External"/><Relationship Id="rId3" Type="http://schemas.openxmlformats.org/officeDocument/2006/relationships/hyperlink" Target="https://www.youtube.com/statisticalpert/" TargetMode="External"/><Relationship Id="rId7" Type="http://schemas.openxmlformats.org/officeDocument/2006/relationships/hyperlink" Target="https://www.pluralsight.com/courses/estimate-projects-products" TargetMode="External"/><Relationship Id="rId12" Type="http://schemas.openxmlformats.org/officeDocument/2006/relationships/comments" Target="../comments1.xml"/><Relationship Id="rId2" Type="http://schemas.openxmlformats.org/officeDocument/2006/relationships/hyperlink" Target="http://www.pluralsight.com/courses/estimate-projects-using-statistics-and-excel" TargetMode="External"/><Relationship Id="rId1" Type="http://schemas.openxmlformats.org/officeDocument/2006/relationships/hyperlink" Target="https://www.statisticalpert.com/" TargetMode="External"/><Relationship Id="rId6" Type="http://schemas.openxmlformats.org/officeDocument/2006/relationships/hyperlink" Target="https://www.linkedin.com/in/famousdavis/" TargetMode="External"/><Relationship Id="rId11" Type="http://schemas.openxmlformats.org/officeDocument/2006/relationships/vmlDrawing" Target="../drawings/vmlDrawing1.vml"/><Relationship Id="rId5" Type="http://schemas.openxmlformats.org/officeDocument/2006/relationships/hyperlink" Target="https://www.youtube.com/statisticalpert" TargetMode="External"/><Relationship Id="rId10" Type="http://schemas.openxmlformats.org/officeDocument/2006/relationships/drawing" Target="../drawings/drawing4.xml"/><Relationship Id="rId4" Type="http://schemas.openxmlformats.org/officeDocument/2006/relationships/hyperlink" Target="https://twitter.com/StatisticalPERT" TargetMode="External"/><Relationship Id="rId9" Type="http://schemas.openxmlformats.org/officeDocument/2006/relationships/hyperlink" Target="https://www.statisticalpert.com/download-free-templates/"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gnu.org/licenses/" TargetMode="External"/><Relationship Id="rId3" Type="http://schemas.openxmlformats.org/officeDocument/2006/relationships/hyperlink" Target="https://www.youtube.com/statisticalpert/" TargetMode="External"/><Relationship Id="rId7" Type="http://schemas.openxmlformats.org/officeDocument/2006/relationships/hyperlink" Target="https://www.pluralsight.com/courses/estimate-projects-products" TargetMode="External"/><Relationship Id="rId12" Type="http://schemas.openxmlformats.org/officeDocument/2006/relationships/comments" Target="../comments2.xml"/><Relationship Id="rId2" Type="http://schemas.openxmlformats.org/officeDocument/2006/relationships/hyperlink" Target="http://www.pluralsight.com/courses/estimate-projects-using-statistics-and-excel" TargetMode="External"/><Relationship Id="rId1" Type="http://schemas.openxmlformats.org/officeDocument/2006/relationships/hyperlink" Target="https://www.statisticalpert.com/" TargetMode="External"/><Relationship Id="rId6" Type="http://schemas.openxmlformats.org/officeDocument/2006/relationships/hyperlink" Target="https://www.linkedin.com/in/famousdavis/" TargetMode="External"/><Relationship Id="rId11" Type="http://schemas.openxmlformats.org/officeDocument/2006/relationships/vmlDrawing" Target="../drawings/vmlDrawing2.vml"/><Relationship Id="rId5" Type="http://schemas.openxmlformats.org/officeDocument/2006/relationships/hyperlink" Target="https://www.youtube.com/statisticalpert" TargetMode="External"/><Relationship Id="rId10" Type="http://schemas.openxmlformats.org/officeDocument/2006/relationships/drawing" Target="../drawings/drawing5.xml"/><Relationship Id="rId4" Type="http://schemas.openxmlformats.org/officeDocument/2006/relationships/hyperlink" Target="https://twitter.com/StatisticalPERT" TargetMode="External"/><Relationship Id="rId9" Type="http://schemas.openxmlformats.org/officeDocument/2006/relationships/hyperlink" Target="https://www.statisticalpert.com/download-free-templates/"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gnu.org/licenses/" TargetMode="External"/><Relationship Id="rId3" Type="http://schemas.openxmlformats.org/officeDocument/2006/relationships/hyperlink" Target="https://www.youtube.com/statisticalpert/" TargetMode="External"/><Relationship Id="rId7" Type="http://schemas.openxmlformats.org/officeDocument/2006/relationships/hyperlink" Target="https://www.pluralsight.com/courses/estimate-projects-products" TargetMode="External"/><Relationship Id="rId12" Type="http://schemas.openxmlformats.org/officeDocument/2006/relationships/comments" Target="../comments3.xml"/><Relationship Id="rId2" Type="http://schemas.openxmlformats.org/officeDocument/2006/relationships/hyperlink" Target="http://www.pluralsight.com/courses/estimate-projects-using-statistics-and-excel" TargetMode="External"/><Relationship Id="rId1" Type="http://schemas.openxmlformats.org/officeDocument/2006/relationships/hyperlink" Target="https://www.statisticalpert.com/" TargetMode="External"/><Relationship Id="rId6" Type="http://schemas.openxmlformats.org/officeDocument/2006/relationships/hyperlink" Target="https://www.linkedin.com/in/famousdavis/" TargetMode="External"/><Relationship Id="rId11" Type="http://schemas.openxmlformats.org/officeDocument/2006/relationships/vmlDrawing" Target="../drawings/vmlDrawing3.vml"/><Relationship Id="rId5" Type="http://schemas.openxmlformats.org/officeDocument/2006/relationships/hyperlink" Target="https://www.youtube.com/statisticalpert" TargetMode="External"/><Relationship Id="rId10" Type="http://schemas.openxmlformats.org/officeDocument/2006/relationships/drawing" Target="../drawings/drawing6.xml"/><Relationship Id="rId4" Type="http://schemas.openxmlformats.org/officeDocument/2006/relationships/hyperlink" Target="https://twitter.com/StatisticalPERT" TargetMode="External"/><Relationship Id="rId9" Type="http://schemas.openxmlformats.org/officeDocument/2006/relationships/hyperlink" Target="https://www.statisticalpert.com/download-free-templates/"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pluralsight.com/courses/estimate-projects-products" TargetMode="External"/><Relationship Id="rId13" Type="http://schemas.openxmlformats.org/officeDocument/2006/relationships/printerSettings" Target="../printerSettings/printerSettings4.bin"/><Relationship Id="rId3" Type="http://schemas.openxmlformats.org/officeDocument/2006/relationships/hyperlink" Target="http://www.pluralsight.com/courses/estimate-projects-using-statistics-and-excel" TargetMode="External"/><Relationship Id="rId7" Type="http://schemas.openxmlformats.org/officeDocument/2006/relationships/hyperlink" Target="https://www.linkedin.com/in/famousdavis/" TargetMode="External"/><Relationship Id="rId12" Type="http://schemas.openxmlformats.org/officeDocument/2006/relationships/hyperlink" Target="https://www.nps.gov/subjects/cherryblossom/bloom-watch.htm" TargetMode="External"/><Relationship Id="rId2" Type="http://schemas.openxmlformats.org/officeDocument/2006/relationships/hyperlink" Target="https://www.statisticalpert.com/" TargetMode="External"/><Relationship Id="rId1" Type="http://schemas.openxmlformats.org/officeDocument/2006/relationships/hyperlink" Target="https://www.epa.gov/climate-indicators/cherry-blossoms" TargetMode="External"/><Relationship Id="rId6" Type="http://schemas.openxmlformats.org/officeDocument/2006/relationships/hyperlink" Target="https://www.youtube.com/statisticalpert" TargetMode="External"/><Relationship Id="rId11" Type="http://schemas.openxmlformats.org/officeDocument/2006/relationships/hyperlink" Target="https://www.nps.gov/subjects/cherryblossom/bloom-watch.htm" TargetMode="External"/><Relationship Id="rId5" Type="http://schemas.openxmlformats.org/officeDocument/2006/relationships/hyperlink" Target="https://twitter.com/StatisticalPERT" TargetMode="External"/><Relationship Id="rId10" Type="http://schemas.openxmlformats.org/officeDocument/2006/relationships/hyperlink" Target="https://www.statisticalpert.com/download-free-templates/" TargetMode="External"/><Relationship Id="rId4" Type="http://schemas.openxmlformats.org/officeDocument/2006/relationships/hyperlink" Target="https://www.youtube.com/statisticalpert/" TargetMode="External"/><Relationship Id="rId9" Type="http://schemas.openxmlformats.org/officeDocument/2006/relationships/hyperlink" Target="https://www.gnu.org/licenses/" TargetMode="External"/><Relationship Id="rId1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5.bin"/><Relationship Id="rId1" Type="http://schemas.openxmlformats.org/officeDocument/2006/relationships/hyperlink" Target="https://www.gnu.org/licenses/"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hyperlink" Target="https://www.collabinart.com/" TargetMode="External"/><Relationship Id="rId1" Type="http://schemas.openxmlformats.org/officeDocument/2006/relationships/hyperlink" Target="http://www.pluralsight.com/courses/estimate-projects-using-statistics-and-exce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2"/>
  <sheetViews>
    <sheetView showGridLines="0" showRowColHeaders="0" tabSelected="1" workbookViewId="0">
      <pane ySplit="2" topLeftCell="A3" activePane="bottomLeft" state="frozen"/>
      <selection pane="bottomLeft" activeCell="B2" sqref="B2"/>
    </sheetView>
  </sheetViews>
  <sheetFormatPr defaultColWidth="9" defaultRowHeight="14.25"/>
  <cols>
    <col min="1" max="1" width="9" style="5"/>
    <col min="2" max="2" width="99.1328125" style="5" customWidth="1"/>
    <col min="3" max="16384" width="9" style="5"/>
  </cols>
  <sheetData>
    <row r="1" spans="1:7">
      <c r="A1" s="3"/>
      <c r="B1" s="3"/>
      <c r="C1" s="100"/>
    </row>
    <row r="2" spans="1:7" ht="28.5">
      <c r="A2" s="3"/>
      <c r="B2" s="30" t="s">
        <v>799</v>
      </c>
      <c r="C2" s="214" t="s">
        <v>790</v>
      </c>
    </row>
    <row r="3" spans="1:7">
      <c r="A3" s="3"/>
      <c r="B3" s="3"/>
    </row>
    <row r="4" spans="1:7" ht="16.899999999999999">
      <c r="A4" s="3"/>
      <c r="B4" s="3" t="s">
        <v>51</v>
      </c>
      <c r="D4" s="106"/>
      <c r="G4" s="102"/>
    </row>
    <row r="5" spans="1:7">
      <c r="A5" s="3"/>
      <c r="B5" s="3" t="s">
        <v>791</v>
      </c>
      <c r="D5" s="107"/>
      <c r="G5" s="102"/>
    </row>
    <row r="6" spans="1:7">
      <c r="A6" s="3"/>
      <c r="B6" s="3" t="s">
        <v>792</v>
      </c>
      <c r="G6" s="102"/>
    </row>
    <row r="7" spans="1:7">
      <c r="A7" s="3"/>
      <c r="B7" s="3"/>
      <c r="G7" s="102"/>
    </row>
    <row r="8" spans="1:7" ht="16.899999999999999">
      <c r="A8" s="3"/>
      <c r="B8" s="3" t="s">
        <v>807</v>
      </c>
      <c r="D8" s="108"/>
      <c r="G8" s="102"/>
    </row>
    <row r="9" spans="1:7">
      <c r="A9" s="3"/>
      <c r="B9" s="3" t="s">
        <v>637</v>
      </c>
      <c r="D9" s="107"/>
      <c r="G9" s="102"/>
    </row>
    <row r="10" spans="1:7">
      <c r="A10" s="3"/>
      <c r="B10" s="3" t="s">
        <v>797</v>
      </c>
      <c r="G10" s="102"/>
    </row>
    <row r="11" spans="1:7">
      <c r="A11" s="3"/>
      <c r="B11" s="3" t="s">
        <v>798</v>
      </c>
      <c r="G11" s="102"/>
    </row>
    <row r="12" spans="1:7">
      <c r="A12" s="3"/>
      <c r="B12" s="3"/>
      <c r="G12" s="102"/>
    </row>
    <row r="13" spans="1:7">
      <c r="A13" s="3"/>
      <c r="B13" s="215" t="s">
        <v>784</v>
      </c>
      <c r="G13" s="102"/>
    </row>
    <row r="14" spans="1:7">
      <c r="A14" s="3"/>
      <c r="B14" s="215" t="s">
        <v>783</v>
      </c>
      <c r="G14" s="102"/>
    </row>
    <row r="15" spans="1:7">
      <c r="A15" s="3"/>
      <c r="B15" s="216" t="s">
        <v>787</v>
      </c>
      <c r="G15" s="102"/>
    </row>
    <row r="16" spans="1:7">
      <c r="A16" s="3"/>
      <c r="B16" s="215" t="s">
        <v>788</v>
      </c>
      <c r="G16" s="103"/>
    </row>
    <row r="17" spans="1:9">
      <c r="A17" s="3"/>
      <c r="B17" s="215"/>
      <c r="G17" s="102"/>
    </row>
    <row r="18" spans="1:9">
      <c r="A18" s="3"/>
      <c r="B18" s="215" t="s">
        <v>789</v>
      </c>
      <c r="G18" s="102"/>
    </row>
    <row r="19" spans="1:9">
      <c r="A19" s="3"/>
      <c r="B19" s="215" t="s">
        <v>785</v>
      </c>
      <c r="G19" s="102"/>
    </row>
    <row r="20" spans="1:9">
      <c r="A20" s="3"/>
      <c r="B20" s="215" t="s">
        <v>786</v>
      </c>
      <c r="G20" s="102"/>
    </row>
    <row r="21" spans="1:9">
      <c r="A21" s="3"/>
      <c r="B21" s="215"/>
      <c r="G21" s="102"/>
    </row>
    <row r="22" spans="1:9">
      <c r="A22" s="3"/>
      <c r="B22" s="215" t="s">
        <v>832</v>
      </c>
      <c r="G22" s="102"/>
    </row>
    <row r="23" spans="1:9">
      <c r="A23" s="3"/>
      <c r="B23" s="215" t="s">
        <v>833</v>
      </c>
      <c r="G23" s="102"/>
    </row>
    <row r="24" spans="1:9">
      <c r="A24" s="3"/>
      <c r="B24" s="215"/>
      <c r="G24" s="102"/>
    </row>
    <row r="25" spans="1:9">
      <c r="A25" s="3"/>
      <c r="B25" s="215" t="s">
        <v>834</v>
      </c>
      <c r="G25" s="102"/>
    </row>
    <row r="26" spans="1:9">
      <c r="A26" s="3"/>
      <c r="B26" s="215" t="s">
        <v>835</v>
      </c>
      <c r="G26" s="102"/>
    </row>
    <row r="27" spans="1:9">
      <c r="A27" s="3"/>
      <c r="B27" s="215" t="s">
        <v>847</v>
      </c>
      <c r="G27" s="102"/>
    </row>
    <row r="28" spans="1:9">
      <c r="A28" s="3"/>
      <c r="B28" s="215" t="s">
        <v>836</v>
      </c>
      <c r="G28" s="102"/>
    </row>
    <row r="29" spans="1:9">
      <c r="A29" s="3"/>
      <c r="B29" s="31"/>
      <c r="G29" s="225"/>
      <c r="H29" s="225"/>
      <c r="I29" s="225"/>
    </row>
    <row r="30" spans="1:9">
      <c r="A30" s="3"/>
      <c r="B30" s="31" t="s">
        <v>781</v>
      </c>
      <c r="G30" s="102"/>
    </row>
    <row r="31" spans="1:9">
      <c r="A31" s="3"/>
      <c r="B31" s="31" t="s">
        <v>782</v>
      </c>
    </row>
    <row r="32" spans="1:9">
      <c r="A32" s="3"/>
      <c r="B32" s="3"/>
    </row>
    <row r="33" spans="1:8">
      <c r="A33" s="3"/>
      <c r="B33" s="3" t="s">
        <v>20</v>
      </c>
      <c r="D33" s="117"/>
    </row>
    <row r="34" spans="1:8">
      <c r="A34" s="3"/>
      <c r="B34" s="31" t="s">
        <v>21</v>
      </c>
    </row>
    <row r="35" spans="1:8">
      <c r="A35" s="3"/>
      <c r="B35" s="3"/>
      <c r="D35" s="117"/>
    </row>
    <row r="36" spans="1:8">
      <c r="A36" s="3"/>
      <c r="B36" s="7" t="str">
        <f>CONCATENATE("Version ",'Change Log'!$B$3," – © 2022-",YEAR('Change Log'!$A$3),IF('Change Log'!$C$3="William W. Davis",", William W. Davis, MSPM, PMP",CONCATENATE(", original copyright holder is William W. Davis, MSPM, PMP; later modified by ",'Change Log'!$C$3)))</f>
        <v>Version 1.4 – © 2022-2025, William W. Davis, MSPM, PMP</v>
      </c>
      <c r="C36" s="6"/>
      <c r="D36" s="117"/>
      <c r="H36" s="6"/>
    </row>
    <row r="37" spans="1:8">
      <c r="A37" s="3"/>
      <c r="B37" s="68" t="s">
        <v>49</v>
      </c>
      <c r="C37" s="67"/>
      <c r="D37" s="117"/>
      <c r="E37" s="67"/>
      <c r="F37" s="67"/>
      <c r="G37" s="67"/>
      <c r="H37" s="67"/>
    </row>
    <row r="38" spans="1:8">
      <c r="A38" s="3"/>
      <c r="B38" s="68" t="s">
        <v>50</v>
      </c>
      <c r="C38" s="67"/>
      <c r="D38" s="117"/>
      <c r="H38" s="6"/>
    </row>
    <row r="39" spans="1:8">
      <c r="A39" s="3"/>
      <c r="B39" s="68" t="s">
        <v>47</v>
      </c>
      <c r="C39" s="67"/>
      <c r="D39" s="117"/>
      <c r="H39" s="6"/>
    </row>
    <row r="40" spans="1:8">
      <c r="A40" s="3"/>
      <c r="B40" s="68" t="s">
        <v>91</v>
      </c>
      <c r="C40" s="67"/>
      <c r="D40" s="117"/>
      <c r="H40" s="6"/>
    </row>
    <row r="41" spans="1:8">
      <c r="A41" s="3"/>
      <c r="B41" s="68" t="s">
        <v>826</v>
      </c>
      <c r="C41" s="67"/>
      <c r="D41" s="117"/>
      <c r="H41" s="6"/>
    </row>
    <row r="42" spans="1:8">
      <c r="A42" s="3"/>
      <c r="B42" s="72" t="s">
        <v>86</v>
      </c>
      <c r="C42" s="6"/>
      <c r="D42" s="117"/>
      <c r="H42" s="6"/>
    </row>
    <row r="43" spans="1:8">
      <c r="A43" s="3"/>
      <c r="B43" s="72" t="s">
        <v>46</v>
      </c>
      <c r="C43" s="6"/>
      <c r="D43" s="117"/>
      <c r="H43" s="6"/>
    </row>
    <row r="44" spans="1:8">
      <c r="A44" s="3"/>
      <c r="B44" s="72" t="s">
        <v>85</v>
      </c>
      <c r="C44" s="6"/>
      <c r="H44" s="6"/>
    </row>
    <row r="45" spans="1:8">
      <c r="A45" s="3"/>
      <c r="B45" s="72" t="s">
        <v>87</v>
      </c>
      <c r="C45" s="6"/>
      <c r="D45" s="117"/>
      <c r="H45" s="6"/>
    </row>
    <row r="46" spans="1:8">
      <c r="A46" s="3"/>
      <c r="B46" s="72" t="s">
        <v>608</v>
      </c>
      <c r="C46" s="6"/>
      <c r="H46" s="6"/>
    </row>
    <row r="47" spans="1:8">
      <c r="A47" s="3"/>
      <c r="B47" s="72" t="s">
        <v>609</v>
      </c>
      <c r="C47" s="6"/>
      <c r="D47" s="117"/>
      <c r="H47" s="6"/>
    </row>
    <row r="48" spans="1:8">
      <c r="A48" s="3"/>
      <c r="B48" s="72"/>
      <c r="C48" s="6"/>
      <c r="D48" s="117"/>
      <c r="H48" s="6"/>
    </row>
    <row r="49" spans="1:8">
      <c r="A49" s="3"/>
      <c r="B49" s="72" t="s">
        <v>610</v>
      </c>
      <c r="C49" s="6"/>
      <c r="D49" s="117"/>
      <c r="H49" s="6"/>
    </row>
    <row r="50" spans="1:8">
      <c r="A50" s="7"/>
      <c r="B50" s="72" t="s">
        <v>45</v>
      </c>
      <c r="C50" s="6"/>
      <c r="D50" s="117"/>
      <c r="H50" s="6"/>
    </row>
    <row r="51" spans="1:8">
      <c r="A51" s="3"/>
      <c r="B51" s="118" t="s">
        <v>613</v>
      </c>
      <c r="D51" s="117"/>
    </row>
    <row r="52" spans="1:8">
      <c r="A52" s="3"/>
      <c r="B52" s="3"/>
    </row>
  </sheetData>
  <mergeCells count="1">
    <mergeCell ref="G29:I29"/>
  </mergeCells>
  <hyperlinks>
    <hyperlink ref="B37" r:id="rId1" display="Download more FREE Statistical PERT templates at https://www.statisticalpert.com" xr:uid="{00000000-0004-0000-0000-000000000000}"/>
    <hyperlink ref="B38:D38" r:id="rId2" display="Take a Pluralsight course on Statistical PERT" xr:uid="{00000000-0004-0000-0000-000001000000}"/>
    <hyperlink ref="B34" r:id="rId3" xr:uid="{00000000-0004-0000-0000-000002000000}"/>
    <hyperlink ref="B39" r:id="rId4" xr:uid="{00000000-0004-0000-0000-000003000000}"/>
    <hyperlink ref="B41" r:id="rId5" location="newsletter" display="Follow Statistical PERT on Twitter to learn when new updates are released" xr:uid="{00000000-0004-0000-0000-000004000000}"/>
    <hyperlink ref="B40" r:id="rId6" display="Connect with me on LinkedIn" xr:uid="{C0C92256-31A4-4FB1-A305-87401A6C973C}"/>
    <hyperlink ref="B38" r:id="rId7" xr:uid="{F174AB8F-5919-441C-A3F4-7BDC7B764F06}"/>
    <hyperlink ref="B51" r:id="rId8" display="See the GNU General Public License for more details (http://www.gnu.org/licenses/)." xr:uid="{B70012EC-FEB6-4BF6-A7A5-A758DCB9E95F}"/>
    <hyperlink ref="B30" r:id="rId9" xr:uid="{3A6CA99E-4DBD-4016-BF14-B0883EAA3D3A}"/>
    <hyperlink ref="B31" r:id="rId10" xr:uid="{0156D737-BDD7-4FA9-88EE-BECC9CA49A94}"/>
  </hyperlinks>
  <pageMargins left="0.7" right="0.7" top="0.75" bottom="0.75" header="0.3" footer="0.3"/>
  <pageSetup orientation="portrait" r:id="rId11"/>
  <drawing r:id="rId1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9"/>
  <sheetViews>
    <sheetView showGridLines="0" workbookViewId="0">
      <selection activeCell="A3" sqref="A3"/>
    </sheetView>
  </sheetViews>
  <sheetFormatPr defaultRowHeight="14.25"/>
  <cols>
    <col min="1" max="1" width="11.73046875" style="14" customWidth="1"/>
    <col min="2" max="2" width="10.53125" style="15" customWidth="1"/>
    <col min="3" max="3" width="18.59765625" style="15" customWidth="1"/>
    <col min="4" max="4" width="126.86328125" style="16" customWidth="1"/>
    <col min="5" max="5" width="9.1328125" customWidth="1"/>
  </cols>
  <sheetData>
    <row r="1" spans="1:4" ht="24.75" customHeight="1">
      <c r="A1" s="36" t="s">
        <v>619</v>
      </c>
    </row>
    <row r="2" spans="1:4">
      <c r="A2" s="11" t="s">
        <v>801</v>
      </c>
      <c r="B2" s="12" t="s">
        <v>9</v>
      </c>
      <c r="C2" s="12" t="s">
        <v>802</v>
      </c>
      <c r="D2" s="13" t="s">
        <v>10</v>
      </c>
    </row>
    <row r="3" spans="1:4">
      <c r="A3" s="217">
        <v>45753</v>
      </c>
      <c r="B3" s="218" t="s">
        <v>837</v>
      </c>
      <c r="C3" s="218" t="s">
        <v>804</v>
      </c>
      <c r="D3" s="131" t="s">
        <v>838</v>
      </c>
    </row>
    <row r="4" spans="1:4">
      <c r="A4" s="221" t="s">
        <v>800</v>
      </c>
      <c r="B4" s="219"/>
      <c r="C4" s="219"/>
      <c r="D4" s="220"/>
    </row>
    <row r="5" spans="1:4">
      <c r="A5" s="125">
        <v>45753</v>
      </c>
      <c r="B5" s="126" t="s">
        <v>837</v>
      </c>
      <c r="C5" s="126" t="s">
        <v>804</v>
      </c>
      <c r="D5" s="127" t="s">
        <v>838</v>
      </c>
    </row>
    <row r="6" spans="1:4">
      <c r="A6" s="125">
        <v>45373</v>
      </c>
      <c r="B6" s="126" t="s">
        <v>830</v>
      </c>
      <c r="C6" s="126" t="s">
        <v>804</v>
      </c>
      <c r="D6" s="127" t="s">
        <v>831</v>
      </c>
    </row>
    <row r="7" spans="1:4">
      <c r="A7" s="125">
        <v>45008</v>
      </c>
      <c r="B7" s="126" t="s">
        <v>824</v>
      </c>
      <c r="C7" s="126" t="s">
        <v>804</v>
      </c>
      <c r="D7" s="127" t="s">
        <v>825</v>
      </c>
    </row>
    <row r="8" spans="1:4">
      <c r="A8" s="125">
        <v>44669</v>
      </c>
      <c r="B8" s="126" t="s">
        <v>819</v>
      </c>
      <c r="C8" s="126" t="s">
        <v>804</v>
      </c>
      <c r="D8" s="127" t="s">
        <v>820</v>
      </c>
    </row>
    <row r="9" spans="1:4">
      <c r="A9" s="125">
        <v>44562</v>
      </c>
      <c r="B9" s="126" t="s">
        <v>803</v>
      </c>
      <c r="C9" s="126" t="s">
        <v>804</v>
      </c>
      <c r="D9" s="127" t="s">
        <v>805</v>
      </c>
    </row>
  </sheetData>
  <pageMargins left="0.7" right="0.7" top="0.75" bottom="0.75" header="0.3" footer="0.3"/>
  <pageSetup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330B2-8424-4DD4-B2C0-7638C43432D5}">
  <dimension ref="A1:A676"/>
  <sheetViews>
    <sheetView showGridLines="0" showRowColHeaders="0" workbookViewId="0"/>
  </sheetViews>
  <sheetFormatPr defaultRowHeight="14.25"/>
  <cols>
    <col min="1" max="1" width="9.1328125" style="121"/>
  </cols>
  <sheetData>
    <row r="1" spans="1:1">
      <c r="A1" s="119" t="s">
        <v>607</v>
      </c>
    </row>
    <row r="2" spans="1:1">
      <c r="A2" s="119" t="s">
        <v>95</v>
      </c>
    </row>
    <row r="3" spans="1:1">
      <c r="A3" s="119"/>
    </row>
    <row r="4" spans="1:1">
      <c r="A4" s="119" t="s">
        <v>96</v>
      </c>
    </row>
    <row r="5" spans="1:1">
      <c r="A5" s="119" t="s">
        <v>97</v>
      </c>
    </row>
    <row r="6" spans="1:1">
      <c r="A6" s="119" t="s">
        <v>98</v>
      </c>
    </row>
    <row r="7" spans="1:1">
      <c r="A7" s="119"/>
    </row>
    <row r="8" spans="1:1">
      <c r="A8" s="119" t="s">
        <v>99</v>
      </c>
    </row>
    <row r="9" spans="1:1">
      <c r="A9" s="119"/>
    </row>
    <row r="10" spans="1:1">
      <c r="A10" s="119" t="s">
        <v>100</v>
      </c>
    </row>
    <row r="11" spans="1:1">
      <c r="A11" s="119" t="s">
        <v>101</v>
      </c>
    </row>
    <row r="12" spans="1:1">
      <c r="A12" s="119"/>
    </row>
    <row r="13" spans="1:1">
      <c r="A13" s="119" t="s">
        <v>102</v>
      </c>
    </row>
    <row r="14" spans="1:1">
      <c r="A14" s="119" t="s">
        <v>103</v>
      </c>
    </row>
    <row r="15" spans="1:1">
      <c r="A15" s="119" t="s">
        <v>104</v>
      </c>
    </row>
    <row r="16" spans="1:1">
      <c r="A16" s="119" t="s">
        <v>105</v>
      </c>
    </row>
    <row r="17" spans="1:1">
      <c r="A17" s="119" t="s">
        <v>106</v>
      </c>
    </row>
    <row r="18" spans="1:1">
      <c r="A18" s="119" t="s">
        <v>107</v>
      </c>
    </row>
    <row r="19" spans="1:1">
      <c r="A19" s="119" t="s">
        <v>108</v>
      </c>
    </row>
    <row r="20" spans="1:1">
      <c r="A20" s="119" t="s">
        <v>109</v>
      </c>
    </row>
    <row r="21" spans="1:1">
      <c r="A21" s="119"/>
    </row>
    <row r="22" spans="1:1">
      <c r="A22" s="119" t="s">
        <v>110</v>
      </c>
    </row>
    <row r="23" spans="1:1">
      <c r="A23" s="119" t="s">
        <v>111</v>
      </c>
    </row>
    <row r="24" spans="1:1">
      <c r="A24" s="119" t="s">
        <v>112</v>
      </c>
    </row>
    <row r="25" spans="1:1">
      <c r="A25" s="119" t="s">
        <v>113</v>
      </c>
    </row>
    <row r="26" spans="1:1">
      <c r="A26" s="119" t="s">
        <v>114</v>
      </c>
    </row>
    <row r="27" spans="1:1">
      <c r="A27" s="119" t="s">
        <v>115</v>
      </c>
    </row>
    <row r="28" spans="1:1">
      <c r="A28" s="119"/>
    </row>
    <row r="29" spans="1:1">
      <c r="A29" s="119" t="s">
        <v>116</v>
      </c>
    </row>
    <row r="30" spans="1:1">
      <c r="A30" s="119" t="s">
        <v>117</v>
      </c>
    </row>
    <row r="31" spans="1:1">
      <c r="A31" s="119" t="s">
        <v>118</v>
      </c>
    </row>
    <row r="32" spans="1:1">
      <c r="A32" s="119" t="s">
        <v>119</v>
      </c>
    </row>
    <row r="33" spans="1:1">
      <c r="A33" s="119"/>
    </row>
    <row r="34" spans="1:1">
      <c r="A34" s="119" t="s">
        <v>120</v>
      </c>
    </row>
    <row r="35" spans="1:1">
      <c r="A35" s="119" t="s">
        <v>121</v>
      </c>
    </row>
    <row r="36" spans="1:1">
      <c r="A36" s="119" t="s">
        <v>122</v>
      </c>
    </row>
    <row r="37" spans="1:1">
      <c r="A37" s="119" t="s">
        <v>123</v>
      </c>
    </row>
    <row r="38" spans="1:1">
      <c r="A38" s="119" t="s">
        <v>124</v>
      </c>
    </row>
    <row r="39" spans="1:1">
      <c r="A39" s="119"/>
    </row>
    <row r="40" spans="1:1">
      <c r="A40" s="119" t="s">
        <v>125</v>
      </c>
    </row>
    <row r="41" spans="1:1">
      <c r="A41" s="119" t="s">
        <v>126</v>
      </c>
    </row>
    <row r="42" spans="1:1">
      <c r="A42" s="119" t="s">
        <v>127</v>
      </c>
    </row>
    <row r="43" spans="1:1">
      <c r="A43" s="119"/>
    </row>
    <row r="44" spans="1:1">
      <c r="A44" s="119" t="s">
        <v>128</v>
      </c>
    </row>
    <row r="45" spans="1:1">
      <c r="A45" s="119" t="s">
        <v>129</v>
      </c>
    </row>
    <row r="46" spans="1:1">
      <c r="A46" s="119" t="s">
        <v>130</v>
      </c>
    </row>
    <row r="47" spans="1:1">
      <c r="A47" s="119" t="s">
        <v>131</v>
      </c>
    </row>
    <row r="48" spans="1:1">
      <c r="A48" s="119" t="s">
        <v>132</v>
      </c>
    </row>
    <row r="49" spans="1:1">
      <c r="A49" s="119"/>
    </row>
    <row r="50" spans="1:1">
      <c r="A50" s="119" t="s">
        <v>133</v>
      </c>
    </row>
    <row r="51" spans="1:1">
      <c r="A51" s="119" t="s">
        <v>134</v>
      </c>
    </row>
    <row r="52" spans="1:1">
      <c r="A52" s="119" t="s">
        <v>135</v>
      </c>
    </row>
    <row r="53" spans="1:1">
      <c r="A53" s="119" t="s">
        <v>136</v>
      </c>
    </row>
    <row r="54" spans="1:1">
      <c r="A54" s="119" t="s">
        <v>137</v>
      </c>
    </row>
    <row r="55" spans="1:1">
      <c r="A55" s="119" t="s">
        <v>138</v>
      </c>
    </row>
    <row r="56" spans="1:1">
      <c r="A56" s="119" t="s">
        <v>139</v>
      </c>
    </row>
    <row r="57" spans="1:1">
      <c r="A57" s="119" t="s">
        <v>140</v>
      </c>
    </row>
    <row r="58" spans="1:1">
      <c r="A58" s="119" t="s">
        <v>141</v>
      </c>
    </row>
    <row r="59" spans="1:1">
      <c r="A59" s="119" t="s">
        <v>142</v>
      </c>
    </row>
    <row r="60" spans="1:1">
      <c r="A60" s="119"/>
    </row>
    <row r="61" spans="1:1">
      <c r="A61" s="119" t="s">
        <v>143</v>
      </c>
    </row>
    <row r="62" spans="1:1">
      <c r="A62" s="119" t="s">
        <v>144</v>
      </c>
    </row>
    <row r="63" spans="1:1">
      <c r="A63" s="119" t="s">
        <v>145</v>
      </c>
    </row>
    <row r="64" spans="1:1">
      <c r="A64" s="119" t="s">
        <v>146</v>
      </c>
    </row>
    <row r="65" spans="1:1">
      <c r="A65" s="119" t="s">
        <v>147</v>
      </c>
    </row>
    <row r="66" spans="1:1">
      <c r="A66" s="119" t="s">
        <v>148</v>
      </c>
    </row>
    <row r="67" spans="1:1">
      <c r="A67" s="119"/>
    </row>
    <row r="68" spans="1:1">
      <c r="A68" s="119" t="s">
        <v>149</v>
      </c>
    </row>
    <row r="69" spans="1:1">
      <c r="A69" s="119" t="s">
        <v>150</v>
      </c>
    </row>
    <row r="70" spans="1:1">
      <c r="A70" s="119"/>
    </row>
    <row r="71" spans="1:1">
      <c r="A71" s="119" t="s">
        <v>151</v>
      </c>
    </row>
    <row r="72" spans="1:1">
      <c r="A72" s="119"/>
    </row>
    <row r="73" spans="1:1">
      <c r="A73" s="119" t="s">
        <v>152</v>
      </c>
    </row>
    <row r="74" spans="1:1">
      <c r="A74" s="119"/>
    </row>
    <row r="75" spans="1:1">
      <c r="A75" s="119" t="s">
        <v>153</v>
      </c>
    </row>
    <row r="76" spans="1:1">
      <c r="A76" s="119"/>
    </row>
    <row r="77" spans="1:1">
      <c r="A77" s="119" t="s">
        <v>154</v>
      </c>
    </row>
    <row r="78" spans="1:1">
      <c r="A78" s="119" t="s">
        <v>155</v>
      </c>
    </row>
    <row r="79" spans="1:1">
      <c r="A79" s="119"/>
    </row>
    <row r="80" spans="1:1">
      <c r="A80" s="119" t="s">
        <v>156</v>
      </c>
    </row>
    <row r="81" spans="1:1">
      <c r="A81" s="119" t="s">
        <v>157</v>
      </c>
    </row>
    <row r="82" spans="1:1">
      <c r="A82" s="119" t="s">
        <v>158</v>
      </c>
    </row>
    <row r="83" spans="1:1">
      <c r="A83" s="119"/>
    </row>
    <row r="84" spans="1:1">
      <c r="A84" s="119" t="s">
        <v>159</v>
      </c>
    </row>
    <row r="85" spans="1:1">
      <c r="A85" s="119" t="s">
        <v>160</v>
      </c>
    </row>
    <row r="86" spans="1:1">
      <c r="A86" s="119" t="s">
        <v>161</v>
      </c>
    </row>
    <row r="87" spans="1:1">
      <c r="A87" s="119" t="s">
        <v>162</v>
      </c>
    </row>
    <row r="88" spans="1:1">
      <c r="A88" s="119"/>
    </row>
    <row r="89" spans="1:1">
      <c r="A89" s="119" t="s">
        <v>163</v>
      </c>
    </row>
    <row r="90" spans="1:1">
      <c r="A90" s="119" t="s">
        <v>164</v>
      </c>
    </row>
    <row r="91" spans="1:1">
      <c r="A91" s="119"/>
    </row>
    <row r="92" spans="1:1">
      <c r="A92" s="119" t="s">
        <v>165</v>
      </c>
    </row>
    <row r="93" spans="1:1">
      <c r="A93" s="119" t="s">
        <v>166</v>
      </c>
    </row>
    <row r="94" spans="1:1">
      <c r="A94" s="119" t="s">
        <v>167</v>
      </c>
    </row>
    <row r="95" spans="1:1">
      <c r="A95" s="119" t="s">
        <v>168</v>
      </c>
    </row>
    <row r="96" spans="1:1">
      <c r="A96" s="119" t="s">
        <v>169</v>
      </c>
    </row>
    <row r="97" spans="1:1">
      <c r="A97" s="119" t="s">
        <v>170</v>
      </c>
    </row>
    <row r="98" spans="1:1">
      <c r="A98" s="119"/>
    </row>
    <row r="99" spans="1:1">
      <c r="A99" s="119" t="s">
        <v>171</v>
      </c>
    </row>
    <row r="100" spans="1:1">
      <c r="A100" s="119" t="s">
        <v>172</v>
      </c>
    </row>
    <row r="101" spans="1:1">
      <c r="A101" s="119" t="s">
        <v>173</v>
      </c>
    </row>
    <row r="102" spans="1:1">
      <c r="A102" s="119"/>
    </row>
    <row r="103" spans="1:1">
      <c r="A103" s="119" t="s">
        <v>174</v>
      </c>
    </row>
    <row r="104" spans="1:1">
      <c r="A104" s="119" t="s">
        <v>175</v>
      </c>
    </row>
    <row r="105" spans="1:1">
      <c r="A105" s="119" t="s">
        <v>176</v>
      </c>
    </row>
    <row r="106" spans="1:1">
      <c r="A106" s="119" t="s">
        <v>177</v>
      </c>
    </row>
    <row r="107" spans="1:1">
      <c r="A107" s="119" t="s">
        <v>178</v>
      </c>
    </row>
    <row r="108" spans="1:1">
      <c r="A108" s="119" t="s">
        <v>179</v>
      </c>
    </row>
    <row r="109" spans="1:1">
      <c r="A109" s="119" t="s">
        <v>180</v>
      </c>
    </row>
    <row r="110" spans="1:1">
      <c r="A110" s="119" t="s">
        <v>181</v>
      </c>
    </row>
    <row r="111" spans="1:1">
      <c r="A111" s="119"/>
    </row>
    <row r="112" spans="1:1">
      <c r="A112" s="119" t="s">
        <v>182</v>
      </c>
    </row>
    <row r="113" spans="1:1">
      <c r="A113" s="119"/>
    </row>
    <row r="114" spans="1:1">
      <c r="A114" s="119" t="s">
        <v>183</v>
      </c>
    </row>
    <row r="115" spans="1:1">
      <c r="A115" s="119" t="s">
        <v>184</v>
      </c>
    </row>
    <row r="116" spans="1:1">
      <c r="A116" s="119" t="s">
        <v>185</v>
      </c>
    </row>
    <row r="117" spans="1:1">
      <c r="A117" s="119"/>
    </row>
    <row r="118" spans="1:1">
      <c r="A118" s="119" t="s">
        <v>186</v>
      </c>
    </row>
    <row r="119" spans="1:1">
      <c r="A119" s="119" t="s">
        <v>187</v>
      </c>
    </row>
    <row r="120" spans="1:1">
      <c r="A120" s="119" t="s">
        <v>188</v>
      </c>
    </row>
    <row r="121" spans="1:1">
      <c r="A121" s="119" t="s">
        <v>189</v>
      </c>
    </row>
    <row r="122" spans="1:1">
      <c r="A122" s="119"/>
    </row>
    <row r="123" spans="1:1">
      <c r="A123" s="119" t="s">
        <v>190</v>
      </c>
    </row>
    <row r="124" spans="1:1">
      <c r="A124" s="119" t="s">
        <v>191</v>
      </c>
    </row>
    <row r="125" spans="1:1">
      <c r="A125" s="119" t="s">
        <v>192</v>
      </c>
    </row>
    <row r="126" spans="1:1">
      <c r="A126" s="119" t="s">
        <v>193</v>
      </c>
    </row>
    <row r="127" spans="1:1">
      <c r="A127" s="119" t="s">
        <v>194</v>
      </c>
    </row>
    <row r="128" spans="1:1">
      <c r="A128" s="119" t="s">
        <v>195</v>
      </c>
    </row>
    <row r="129" spans="1:1">
      <c r="A129" s="119" t="s">
        <v>196</v>
      </c>
    </row>
    <row r="130" spans="1:1">
      <c r="A130" s="119" t="s">
        <v>197</v>
      </c>
    </row>
    <row r="131" spans="1:1">
      <c r="A131" s="119" t="s">
        <v>198</v>
      </c>
    </row>
    <row r="132" spans="1:1">
      <c r="A132" s="119" t="s">
        <v>199</v>
      </c>
    </row>
    <row r="133" spans="1:1">
      <c r="A133" s="119"/>
    </row>
    <row r="134" spans="1:1">
      <c r="A134" s="119" t="s">
        <v>200</v>
      </c>
    </row>
    <row r="135" spans="1:1">
      <c r="A135" s="119" t="s">
        <v>201</v>
      </c>
    </row>
    <row r="136" spans="1:1">
      <c r="A136" s="119" t="s">
        <v>202</v>
      </c>
    </row>
    <row r="137" spans="1:1">
      <c r="A137" s="119" t="s">
        <v>203</v>
      </c>
    </row>
    <row r="138" spans="1:1">
      <c r="A138" s="119" t="s">
        <v>204</v>
      </c>
    </row>
    <row r="139" spans="1:1">
      <c r="A139" s="119" t="s">
        <v>205</v>
      </c>
    </row>
    <row r="140" spans="1:1">
      <c r="A140" s="119" t="s">
        <v>206</v>
      </c>
    </row>
    <row r="141" spans="1:1">
      <c r="A141" s="119" t="s">
        <v>207</v>
      </c>
    </row>
    <row r="142" spans="1:1">
      <c r="A142" s="119" t="s">
        <v>208</v>
      </c>
    </row>
    <row r="143" spans="1:1">
      <c r="A143" s="119" t="s">
        <v>209</v>
      </c>
    </row>
    <row r="144" spans="1:1">
      <c r="A144" s="119" t="s">
        <v>210</v>
      </c>
    </row>
    <row r="145" spans="1:1">
      <c r="A145" s="119" t="s">
        <v>211</v>
      </c>
    </row>
    <row r="146" spans="1:1">
      <c r="A146" s="119"/>
    </row>
    <row r="147" spans="1:1">
      <c r="A147" s="119" t="s">
        <v>212</v>
      </c>
    </row>
    <row r="148" spans="1:1">
      <c r="A148" s="119" t="s">
        <v>213</v>
      </c>
    </row>
    <row r="149" spans="1:1">
      <c r="A149" s="119" t="s">
        <v>214</v>
      </c>
    </row>
    <row r="150" spans="1:1">
      <c r="A150" s="119"/>
    </row>
    <row r="151" spans="1:1">
      <c r="A151" s="119" t="s">
        <v>215</v>
      </c>
    </row>
    <row r="152" spans="1:1">
      <c r="A152" s="119" t="s">
        <v>216</v>
      </c>
    </row>
    <row r="153" spans="1:1">
      <c r="A153" s="119"/>
    </row>
    <row r="154" spans="1:1">
      <c r="A154" s="119" t="s">
        <v>217</v>
      </c>
    </row>
    <row r="155" spans="1:1">
      <c r="A155" s="119"/>
    </row>
    <row r="156" spans="1:1">
      <c r="A156" s="119" t="s">
        <v>218</v>
      </c>
    </row>
    <row r="157" spans="1:1">
      <c r="A157" s="119" t="s">
        <v>219</v>
      </c>
    </row>
    <row r="158" spans="1:1">
      <c r="A158" s="119" t="s">
        <v>220</v>
      </c>
    </row>
    <row r="159" spans="1:1">
      <c r="A159" s="119" t="s">
        <v>221</v>
      </c>
    </row>
    <row r="160" spans="1:1">
      <c r="A160" s="119" t="s">
        <v>222</v>
      </c>
    </row>
    <row r="161" spans="1:1">
      <c r="A161" s="119" t="s">
        <v>223</v>
      </c>
    </row>
    <row r="162" spans="1:1">
      <c r="A162" s="119" t="s">
        <v>224</v>
      </c>
    </row>
    <row r="163" spans="1:1">
      <c r="A163" s="119"/>
    </row>
    <row r="164" spans="1:1">
      <c r="A164" s="119" t="s">
        <v>225</v>
      </c>
    </row>
    <row r="165" spans="1:1">
      <c r="A165" s="119" t="s">
        <v>226</v>
      </c>
    </row>
    <row r="166" spans="1:1">
      <c r="A166" s="119" t="s">
        <v>227</v>
      </c>
    </row>
    <row r="167" spans="1:1">
      <c r="A167" s="119" t="s">
        <v>228</v>
      </c>
    </row>
    <row r="168" spans="1:1">
      <c r="A168" s="119" t="s">
        <v>229</v>
      </c>
    </row>
    <row r="169" spans="1:1">
      <c r="A169" s="119" t="s">
        <v>230</v>
      </c>
    </row>
    <row r="170" spans="1:1">
      <c r="A170" s="119" t="s">
        <v>231</v>
      </c>
    </row>
    <row r="171" spans="1:1">
      <c r="A171" s="119" t="s">
        <v>232</v>
      </c>
    </row>
    <row r="172" spans="1:1">
      <c r="A172" s="119" t="s">
        <v>233</v>
      </c>
    </row>
    <row r="173" spans="1:1">
      <c r="A173" s="119" t="s">
        <v>234</v>
      </c>
    </row>
    <row r="174" spans="1:1">
      <c r="A174" s="119"/>
    </row>
    <row r="175" spans="1:1">
      <c r="A175" s="119" t="s">
        <v>235</v>
      </c>
    </row>
    <row r="176" spans="1:1">
      <c r="A176" s="119" t="s">
        <v>236</v>
      </c>
    </row>
    <row r="177" spans="1:1">
      <c r="A177" s="119" t="s">
        <v>237</v>
      </c>
    </row>
    <row r="178" spans="1:1">
      <c r="A178" s="119"/>
    </row>
    <row r="179" spans="1:1">
      <c r="A179" s="119" t="s">
        <v>238</v>
      </c>
    </row>
    <row r="180" spans="1:1">
      <c r="A180" s="119"/>
    </row>
    <row r="181" spans="1:1">
      <c r="A181" s="119" t="s">
        <v>239</v>
      </c>
    </row>
    <row r="182" spans="1:1">
      <c r="A182" s="119" t="s">
        <v>240</v>
      </c>
    </row>
    <row r="183" spans="1:1">
      <c r="A183" s="119" t="s">
        <v>241</v>
      </c>
    </row>
    <row r="184" spans="1:1">
      <c r="A184" s="119" t="s">
        <v>242</v>
      </c>
    </row>
    <row r="185" spans="1:1">
      <c r="A185" s="119" t="s">
        <v>243</v>
      </c>
    </row>
    <row r="186" spans="1:1">
      <c r="A186" s="119"/>
    </row>
    <row r="187" spans="1:1">
      <c r="A187" s="119" t="s">
        <v>244</v>
      </c>
    </row>
    <row r="188" spans="1:1">
      <c r="A188" s="119" t="s">
        <v>245</v>
      </c>
    </row>
    <row r="189" spans="1:1">
      <c r="A189" s="119" t="s">
        <v>246</v>
      </c>
    </row>
    <row r="190" spans="1:1">
      <c r="A190" s="119" t="s">
        <v>247</v>
      </c>
    </row>
    <row r="191" spans="1:1">
      <c r="A191" s="119" t="s">
        <v>248</v>
      </c>
    </row>
    <row r="192" spans="1:1">
      <c r="A192" s="119" t="s">
        <v>249</v>
      </c>
    </row>
    <row r="193" spans="1:1">
      <c r="A193" s="119" t="s">
        <v>250</v>
      </c>
    </row>
    <row r="194" spans="1:1">
      <c r="A194" s="119"/>
    </row>
    <row r="195" spans="1:1">
      <c r="A195" s="119" t="s">
        <v>251</v>
      </c>
    </row>
    <row r="196" spans="1:1">
      <c r="A196" s="119"/>
    </row>
    <row r="197" spans="1:1">
      <c r="A197" s="119" t="s">
        <v>252</v>
      </c>
    </row>
    <row r="198" spans="1:1">
      <c r="A198" s="119" t="s">
        <v>253</v>
      </c>
    </row>
    <row r="199" spans="1:1">
      <c r="A199" s="119" t="s">
        <v>254</v>
      </c>
    </row>
    <row r="200" spans="1:1">
      <c r="A200" s="119" t="s">
        <v>255</v>
      </c>
    </row>
    <row r="201" spans="1:1">
      <c r="A201" s="119" t="s">
        <v>256</v>
      </c>
    </row>
    <row r="202" spans="1:1">
      <c r="A202" s="119" t="s">
        <v>257</v>
      </c>
    </row>
    <row r="203" spans="1:1">
      <c r="A203" s="119" t="s">
        <v>258</v>
      </c>
    </row>
    <row r="204" spans="1:1">
      <c r="A204" s="119"/>
    </row>
    <row r="205" spans="1:1">
      <c r="A205" s="119" t="s">
        <v>259</v>
      </c>
    </row>
    <row r="206" spans="1:1">
      <c r="A206" s="119" t="s">
        <v>260</v>
      </c>
    </row>
    <row r="207" spans="1:1">
      <c r="A207" s="119"/>
    </row>
    <row r="208" spans="1:1">
      <c r="A208" s="119" t="s">
        <v>261</v>
      </c>
    </row>
    <row r="209" spans="1:1">
      <c r="A209" s="119"/>
    </row>
    <row r="210" spans="1:1">
      <c r="A210" s="119" t="s">
        <v>262</v>
      </c>
    </row>
    <row r="211" spans="1:1">
      <c r="A211" s="119" t="s">
        <v>263</v>
      </c>
    </row>
    <row r="212" spans="1:1">
      <c r="A212" s="119" t="s">
        <v>264</v>
      </c>
    </row>
    <row r="213" spans="1:1">
      <c r="A213" s="119"/>
    </row>
    <row r="214" spans="1:1">
      <c r="A214" s="119" t="s">
        <v>265</v>
      </c>
    </row>
    <row r="215" spans="1:1">
      <c r="A215" s="119" t="s">
        <v>266</v>
      </c>
    </row>
    <row r="216" spans="1:1">
      <c r="A216" s="119"/>
    </row>
    <row r="217" spans="1:1">
      <c r="A217" s="119" t="s">
        <v>267</v>
      </c>
    </row>
    <row r="218" spans="1:1">
      <c r="A218" s="119" t="s">
        <v>268</v>
      </c>
    </row>
    <row r="219" spans="1:1">
      <c r="A219" s="119" t="s">
        <v>269</v>
      </c>
    </row>
    <row r="220" spans="1:1">
      <c r="A220" s="119" t="s">
        <v>270</v>
      </c>
    </row>
    <row r="221" spans="1:1">
      <c r="A221" s="119"/>
    </row>
    <row r="222" spans="1:1">
      <c r="A222" s="119" t="s">
        <v>271</v>
      </c>
    </row>
    <row r="223" spans="1:1">
      <c r="A223" s="119" t="s">
        <v>272</v>
      </c>
    </row>
    <row r="224" spans="1:1">
      <c r="A224" s="119" t="s">
        <v>273</v>
      </c>
    </row>
    <row r="225" spans="1:1">
      <c r="A225" s="119" t="s">
        <v>274</v>
      </c>
    </row>
    <row r="226" spans="1:1">
      <c r="A226" s="119" t="s">
        <v>275</v>
      </c>
    </row>
    <row r="227" spans="1:1">
      <c r="A227" s="119" t="s">
        <v>276</v>
      </c>
    </row>
    <row r="228" spans="1:1">
      <c r="A228" s="119" t="s">
        <v>277</v>
      </c>
    </row>
    <row r="229" spans="1:1">
      <c r="A229" s="119"/>
    </row>
    <row r="230" spans="1:1">
      <c r="A230" s="119" t="s">
        <v>278</v>
      </c>
    </row>
    <row r="231" spans="1:1">
      <c r="A231" s="119" t="s">
        <v>279</v>
      </c>
    </row>
    <row r="232" spans="1:1">
      <c r="A232" s="119" t="s">
        <v>280</v>
      </c>
    </row>
    <row r="233" spans="1:1">
      <c r="A233" s="119" t="s">
        <v>281</v>
      </c>
    </row>
    <row r="234" spans="1:1">
      <c r="A234" s="119"/>
    </row>
    <row r="235" spans="1:1">
      <c r="A235" s="119" t="s">
        <v>282</v>
      </c>
    </row>
    <row r="236" spans="1:1">
      <c r="A236" s="119" t="s">
        <v>283</v>
      </c>
    </row>
    <row r="237" spans="1:1">
      <c r="A237" s="119" t="s">
        <v>284</v>
      </c>
    </row>
    <row r="238" spans="1:1">
      <c r="A238" s="119" t="s">
        <v>285</v>
      </c>
    </row>
    <row r="239" spans="1:1">
      <c r="A239" s="119" t="s">
        <v>286</v>
      </c>
    </row>
    <row r="240" spans="1:1">
      <c r="A240" s="119" t="s">
        <v>287</v>
      </c>
    </row>
    <row r="241" spans="1:1">
      <c r="A241" s="119" t="s">
        <v>288</v>
      </c>
    </row>
    <row r="242" spans="1:1">
      <c r="A242" s="119" t="s">
        <v>289</v>
      </c>
    </row>
    <row r="243" spans="1:1">
      <c r="A243" s="119" t="s">
        <v>290</v>
      </c>
    </row>
    <row r="244" spans="1:1">
      <c r="A244" s="119"/>
    </row>
    <row r="245" spans="1:1">
      <c r="A245" s="119" t="s">
        <v>291</v>
      </c>
    </row>
    <row r="246" spans="1:1">
      <c r="A246" s="119"/>
    </row>
    <row r="247" spans="1:1">
      <c r="A247" s="119" t="s">
        <v>292</v>
      </c>
    </row>
    <row r="248" spans="1:1">
      <c r="A248" s="119" t="s">
        <v>293</v>
      </c>
    </row>
    <row r="249" spans="1:1">
      <c r="A249" s="119" t="s">
        <v>294</v>
      </c>
    </row>
    <row r="250" spans="1:1">
      <c r="A250" s="119" t="s">
        <v>295</v>
      </c>
    </row>
    <row r="251" spans="1:1">
      <c r="A251" s="119"/>
    </row>
    <row r="252" spans="1:1">
      <c r="A252" s="119" t="s">
        <v>296</v>
      </c>
    </row>
    <row r="253" spans="1:1">
      <c r="A253" s="119" t="s">
        <v>297</v>
      </c>
    </row>
    <row r="254" spans="1:1">
      <c r="A254" s="119" t="s">
        <v>298</v>
      </c>
    </row>
    <row r="255" spans="1:1">
      <c r="A255" s="119" t="s">
        <v>299</v>
      </c>
    </row>
    <row r="256" spans="1:1">
      <c r="A256" s="119"/>
    </row>
    <row r="257" spans="1:1">
      <c r="A257" s="119" t="s">
        <v>300</v>
      </c>
    </row>
    <row r="258" spans="1:1">
      <c r="A258" s="119" t="s">
        <v>301</v>
      </c>
    </row>
    <row r="259" spans="1:1">
      <c r="A259" s="119" t="s">
        <v>302</v>
      </c>
    </row>
    <row r="260" spans="1:1">
      <c r="A260" s="119" t="s">
        <v>303</v>
      </c>
    </row>
    <row r="261" spans="1:1">
      <c r="A261" s="119" t="s">
        <v>304</v>
      </c>
    </row>
    <row r="262" spans="1:1">
      <c r="A262" s="119" t="s">
        <v>305</v>
      </c>
    </row>
    <row r="263" spans="1:1">
      <c r="A263" s="119" t="s">
        <v>306</v>
      </c>
    </row>
    <row r="264" spans="1:1">
      <c r="A264" s="119" t="s">
        <v>307</v>
      </c>
    </row>
    <row r="265" spans="1:1">
      <c r="A265" s="119" t="s">
        <v>308</v>
      </c>
    </row>
    <row r="266" spans="1:1">
      <c r="A266" s="119" t="s">
        <v>309</v>
      </c>
    </row>
    <row r="267" spans="1:1">
      <c r="A267" s="119" t="s">
        <v>310</v>
      </c>
    </row>
    <row r="268" spans="1:1">
      <c r="A268" s="119"/>
    </row>
    <row r="269" spans="1:1">
      <c r="A269" s="119" t="s">
        <v>311</v>
      </c>
    </row>
    <row r="270" spans="1:1">
      <c r="A270" s="119" t="s">
        <v>312</v>
      </c>
    </row>
    <row r="271" spans="1:1">
      <c r="A271" s="119" t="s">
        <v>313</v>
      </c>
    </row>
    <row r="272" spans="1:1">
      <c r="A272" s="119" t="s">
        <v>314</v>
      </c>
    </row>
    <row r="273" spans="1:1">
      <c r="A273" s="119" t="s">
        <v>315</v>
      </c>
    </row>
    <row r="274" spans="1:1">
      <c r="A274" s="119"/>
    </row>
    <row r="275" spans="1:1">
      <c r="A275" s="119" t="s">
        <v>316</v>
      </c>
    </row>
    <row r="276" spans="1:1">
      <c r="A276" s="119" t="s">
        <v>317</v>
      </c>
    </row>
    <row r="277" spans="1:1">
      <c r="A277" s="119" t="s">
        <v>318</v>
      </c>
    </row>
    <row r="278" spans="1:1">
      <c r="A278" s="119" t="s">
        <v>319</v>
      </c>
    </row>
    <row r="279" spans="1:1">
      <c r="A279" s="119" t="s">
        <v>320</v>
      </c>
    </row>
    <row r="280" spans="1:1">
      <c r="A280" s="119" t="s">
        <v>321</v>
      </c>
    </row>
    <row r="281" spans="1:1">
      <c r="A281" s="119" t="s">
        <v>322</v>
      </c>
    </row>
    <row r="282" spans="1:1">
      <c r="A282" s="119" t="s">
        <v>323</v>
      </c>
    </row>
    <row r="283" spans="1:1">
      <c r="A283" s="119" t="s">
        <v>324</v>
      </c>
    </row>
    <row r="284" spans="1:1">
      <c r="A284" s="119" t="s">
        <v>325</v>
      </c>
    </row>
    <row r="285" spans="1:1">
      <c r="A285" s="119" t="s">
        <v>326</v>
      </c>
    </row>
    <row r="286" spans="1:1">
      <c r="A286" s="119" t="s">
        <v>327</v>
      </c>
    </row>
    <row r="287" spans="1:1">
      <c r="A287" s="119"/>
    </row>
    <row r="288" spans="1:1">
      <c r="A288" s="119" t="s">
        <v>328</v>
      </c>
    </row>
    <row r="289" spans="1:1">
      <c r="A289" s="119" t="s">
        <v>329</v>
      </c>
    </row>
    <row r="290" spans="1:1">
      <c r="A290" s="119" t="s">
        <v>330</v>
      </c>
    </row>
    <row r="291" spans="1:1">
      <c r="A291" s="119" t="s">
        <v>331</v>
      </c>
    </row>
    <row r="292" spans="1:1">
      <c r="A292" s="119"/>
    </row>
    <row r="293" spans="1:1">
      <c r="A293" s="119" t="s">
        <v>332</v>
      </c>
    </row>
    <row r="294" spans="1:1">
      <c r="A294" s="119" t="s">
        <v>333</v>
      </c>
    </row>
    <row r="295" spans="1:1">
      <c r="A295" s="119" t="s">
        <v>334</v>
      </c>
    </row>
    <row r="296" spans="1:1">
      <c r="A296" s="119"/>
    </row>
    <row r="297" spans="1:1">
      <c r="A297" s="119" t="s">
        <v>335</v>
      </c>
    </row>
    <row r="298" spans="1:1">
      <c r="A298" s="119" t="s">
        <v>336</v>
      </c>
    </row>
    <row r="299" spans="1:1">
      <c r="A299" s="119" t="s">
        <v>337</v>
      </c>
    </row>
    <row r="300" spans="1:1">
      <c r="A300" s="119" t="s">
        <v>338</v>
      </c>
    </row>
    <row r="301" spans="1:1">
      <c r="A301" s="119" t="s">
        <v>339</v>
      </c>
    </row>
    <row r="302" spans="1:1">
      <c r="A302" s="119" t="s">
        <v>340</v>
      </c>
    </row>
    <row r="303" spans="1:1">
      <c r="A303" s="119" t="s">
        <v>341</v>
      </c>
    </row>
    <row r="304" spans="1:1">
      <c r="A304" s="119" t="s">
        <v>342</v>
      </c>
    </row>
    <row r="305" spans="1:1">
      <c r="A305" s="119" t="s">
        <v>343</v>
      </c>
    </row>
    <row r="306" spans="1:1">
      <c r="A306" s="119" t="s">
        <v>344</v>
      </c>
    </row>
    <row r="307" spans="1:1">
      <c r="A307" s="119" t="s">
        <v>345</v>
      </c>
    </row>
    <row r="308" spans="1:1">
      <c r="A308" s="119" t="s">
        <v>346</v>
      </c>
    </row>
    <row r="309" spans="1:1">
      <c r="A309" s="119"/>
    </row>
    <row r="310" spans="1:1">
      <c r="A310" s="119" t="s">
        <v>347</v>
      </c>
    </row>
    <row r="311" spans="1:1">
      <c r="A311" s="119" t="s">
        <v>348</v>
      </c>
    </row>
    <row r="312" spans="1:1">
      <c r="A312" s="119" t="s">
        <v>349</v>
      </c>
    </row>
    <row r="313" spans="1:1">
      <c r="A313" s="119" t="s">
        <v>350</v>
      </c>
    </row>
    <row r="314" spans="1:1">
      <c r="A314" s="119" t="s">
        <v>351</v>
      </c>
    </row>
    <row r="315" spans="1:1">
      <c r="A315" s="119" t="s">
        <v>352</v>
      </c>
    </row>
    <row r="316" spans="1:1">
      <c r="A316" s="119" t="s">
        <v>353</v>
      </c>
    </row>
    <row r="317" spans="1:1">
      <c r="A317" s="119"/>
    </row>
    <row r="318" spans="1:1">
      <c r="A318" s="119" t="s">
        <v>354</v>
      </c>
    </row>
    <row r="319" spans="1:1">
      <c r="A319" s="119" t="s">
        <v>355</v>
      </c>
    </row>
    <row r="320" spans="1:1">
      <c r="A320" s="119" t="s">
        <v>356</v>
      </c>
    </row>
    <row r="321" spans="1:1">
      <c r="A321" s="119" t="s">
        <v>357</v>
      </c>
    </row>
    <row r="322" spans="1:1">
      <c r="A322" s="119" t="s">
        <v>358</v>
      </c>
    </row>
    <row r="323" spans="1:1">
      <c r="A323" s="119" t="s">
        <v>359</v>
      </c>
    </row>
    <row r="324" spans="1:1">
      <c r="A324" s="119" t="s">
        <v>360</v>
      </c>
    </row>
    <row r="325" spans="1:1">
      <c r="A325" s="119" t="s">
        <v>361</v>
      </c>
    </row>
    <row r="326" spans="1:1">
      <c r="A326" s="119" t="s">
        <v>362</v>
      </c>
    </row>
    <row r="327" spans="1:1">
      <c r="A327" s="119" t="s">
        <v>363</v>
      </c>
    </row>
    <row r="328" spans="1:1">
      <c r="A328" s="119"/>
    </row>
    <row r="329" spans="1:1">
      <c r="A329" s="119" t="s">
        <v>364</v>
      </c>
    </row>
    <row r="330" spans="1:1">
      <c r="A330" s="119" t="s">
        <v>365</v>
      </c>
    </row>
    <row r="331" spans="1:1">
      <c r="A331" s="119" t="s">
        <v>366</v>
      </c>
    </row>
    <row r="332" spans="1:1">
      <c r="A332" s="119" t="s">
        <v>367</v>
      </c>
    </row>
    <row r="333" spans="1:1">
      <c r="A333" s="119" t="s">
        <v>368</v>
      </c>
    </row>
    <row r="334" spans="1:1">
      <c r="A334" s="119" t="s">
        <v>369</v>
      </c>
    </row>
    <row r="335" spans="1:1">
      <c r="A335" s="119" t="s">
        <v>370</v>
      </c>
    </row>
    <row r="336" spans="1:1">
      <c r="A336" s="119"/>
    </row>
    <row r="337" spans="1:1">
      <c r="A337" s="119" t="s">
        <v>371</v>
      </c>
    </row>
    <row r="338" spans="1:1">
      <c r="A338" s="119" t="s">
        <v>372</v>
      </c>
    </row>
    <row r="339" spans="1:1">
      <c r="A339" s="119" t="s">
        <v>373</v>
      </c>
    </row>
    <row r="340" spans="1:1">
      <c r="A340" s="119" t="s">
        <v>374</v>
      </c>
    </row>
    <row r="341" spans="1:1">
      <c r="A341" s="119" t="s">
        <v>375</v>
      </c>
    </row>
    <row r="342" spans="1:1">
      <c r="A342" s="119"/>
    </row>
    <row r="343" spans="1:1">
      <c r="A343" s="119" t="s">
        <v>376</v>
      </c>
    </row>
    <row r="344" spans="1:1">
      <c r="A344" s="119"/>
    </row>
    <row r="345" spans="1:1">
      <c r="A345" s="119" t="s">
        <v>377</v>
      </c>
    </row>
    <row r="346" spans="1:1">
      <c r="A346" s="119" t="s">
        <v>378</v>
      </c>
    </row>
    <row r="347" spans="1:1">
      <c r="A347" s="119" t="s">
        <v>379</v>
      </c>
    </row>
    <row r="348" spans="1:1">
      <c r="A348" s="119" t="s">
        <v>380</v>
      </c>
    </row>
    <row r="349" spans="1:1">
      <c r="A349" s="119" t="s">
        <v>381</v>
      </c>
    </row>
    <row r="350" spans="1:1">
      <c r="A350" s="119" t="s">
        <v>382</v>
      </c>
    </row>
    <row r="351" spans="1:1">
      <c r="A351" s="119" t="s">
        <v>383</v>
      </c>
    </row>
    <row r="352" spans="1:1">
      <c r="A352" s="119" t="s">
        <v>384</v>
      </c>
    </row>
    <row r="353" spans="1:1">
      <c r="A353" s="119"/>
    </row>
    <row r="354" spans="1:1">
      <c r="A354" s="119" t="s">
        <v>385</v>
      </c>
    </row>
    <row r="355" spans="1:1">
      <c r="A355" s="119" t="s">
        <v>386</v>
      </c>
    </row>
    <row r="356" spans="1:1">
      <c r="A356" s="119" t="s">
        <v>387</v>
      </c>
    </row>
    <row r="357" spans="1:1">
      <c r="A357" s="119" t="s">
        <v>388</v>
      </c>
    </row>
    <row r="358" spans="1:1">
      <c r="A358" s="119" t="s">
        <v>389</v>
      </c>
    </row>
    <row r="359" spans="1:1">
      <c r="A359" s="119" t="s">
        <v>390</v>
      </c>
    </row>
    <row r="360" spans="1:1">
      <c r="A360" s="119"/>
    </row>
    <row r="361" spans="1:1">
      <c r="A361" s="119" t="s">
        <v>391</v>
      </c>
    </row>
    <row r="362" spans="1:1">
      <c r="A362" s="119" t="s">
        <v>392</v>
      </c>
    </row>
    <row r="363" spans="1:1">
      <c r="A363" s="119" t="s">
        <v>393</v>
      </c>
    </row>
    <row r="364" spans="1:1">
      <c r="A364" s="119"/>
    </row>
    <row r="365" spans="1:1">
      <c r="A365" s="119" t="s">
        <v>394</v>
      </c>
    </row>
    <row r="366" spans="1:1">
      <c r="A366" s="119" t="s">
        <v>395</v>
      </c>
    </row>
    <row r="367" spans="1:1">
      <c r="A367" s="119"/>
    </row>
    <row r="368" spans="1:1">
      <c r="A368" s="119" t="s">
        <v>396</v>
      </c>
    </row>
    <row r="369" spans="1:1">
      <c r="A369" s="119" t="s">
        <v>397</v>
      </c>
    </row>
    <row r="370" spans="1:1">
      <c r="A370" s="119" t="s">
        <v>398</v>
      </c>
    </row>
    <row r="371" spans="1:1">
      <c r="A371" s="119"/>
    </row>
    <row r="372" spans="1:1">
      <c r="A372" s="119" t="s">
        <v>399</v>
      </c>
    </row>
    <row r="373" spans="1:1">
      <c r="A373" s="119" t="s">
        <v>400</v>
      </c>
    </row>
    <row r="374" spans="1:1">
      <c r="A374" s="119" t="s">
        <v>401</v>
      </c>
    </row>
    <row r="375" spans="1:1">
      <c r="A375" s="119"/>
    </row>
    <row r="376" spans="1:1">
      <c r="A376" s="119" t="s">
        <v>402</v>
      </c>
    </row>
    <row r="377" spans="1:1">
      <c r="A377" s="119" t="s">
        <v>403</v>
      </c>
    </row>
    <row r="378" spans="1:1">
      <c r="A378" s="119"/>
    </row>
    <row r="379" spans="1:1">
      <c r="A379" s="119" t="s">
        <v>404</v>
      </c>
    </row>
    <row r="380" spans="1:1">
      <c r="A380" s="119" t="s">
        <v>405</v>
      </c>
    </row>
    <row r="381" spans="1:1">
      <c r="A381" s="119"/>
    </row>
    <row r="382" spans="1:1">
      <c r="A382" s="119" t="s">
        <v>406</v>
      </c>
    </row>
    <row r="383" spans="1:1">
      <c r="A383" s="119" t="s">
        <v>407</v>
      </c>
    </row>
    <row r="384" spans="1:1">
      <c r="A384" s="119" t="s">
        <v>408</v>
      </c>
    </row>
    <row r="385" spans="1:1">
      <c r="A385" s="119" t="s">
        <v>409</v>
      </c>
    </row>
    <row r="386" spans="1:1">
      <c r="A386" s="119" t="s">
        <v>410</v>
      </c>
    </row>
    <row r="387" spans="1:1">
      <c r="A387" s="119"/>
    </row>
    <row r="388" spans="1:1">
      <c r="A388" s="119" t="s">
        <v>411</v>
      </c>
    </row>
    <row r="389" spans="1:1">
      <c r="A389" s="119" t="s">
        <v>412</v>
      </c>
    </row>
    <row r="390" spans="1:1">
      <c r="A390" s="119" t="s">
        <v>413</v>
      </c>
    </row>
    <row r="391" spans="1:1">
      <c r="A391" s="119" t="s">
        <v>414</v>
      </c>
    </row>
    <row r="392" spans="1:1">
      <c r="A392" s="119" t="s">
        <v>415</v>
      </c>
    </row>
    <row r="393" spans="1:1">
      <c r="A393" s="119" t="s">
        <v>416</v>
      </c>
    </row>
    <row r="394" spans="1:1">
      <c r="A394" s="119" t="s">
        <v>417</v>
      </c>
    </row>
    <row r="395" spans="1:1">
      <c r="A395" s="119" t="s">
        <v>418</v>
      </c>
    </row>
    <row r="396" spans="1:1">
      <c r="A396" s="119" t="s">
        <v>419</v>
      </c>
    </row>
    <row r="397" spans="1:1">
      <c r="A397" s="119"/>
    </row>
    <row r="398" spans="1:1">
      <c r="A398" s="119" t="s">
        <v>420</v>
      </c>
    </row>
    <row r="399" spans="1:1">
      <c r="A399" s="119" t="s">
        <v>421</v>
      </c>
    </row>
    <row r="400" spans="1:1">
      <c r="A400" s="119" t="s">
        <v>422</v>
      </c>
    </row>
    <row r="401" spans="1:1">
      <c r="A401" s="119" t="s">
        <v>423</v>
      </c>
    </row>
    <row r="402" spans="1:1">
      <c r="A402" s="119"/>
    </row>
    <row r="403" spans="1:1">
      <c r="A403" s="119" t="s">
        <v>424</v>
      </c>
    </row>
    <row r="404" spans="1:1">
      <c r="A404" s="119" t="s">
        <v>425</v>
      </c>
    </row>
    <row r="405" spans="1:1">
      <c r="A405" s="119" t="s">
        <v>426</v>
      </c>
    </row>
    <row r="406" spans="1:1">
      <c r="A406" s="119"/>
    </row>
    <row r="407" spans="1:1">
      <c r="A407" s="119" t="s">
        <v>427</v>
      </c>
    </row>
    <row r="408" spans="1:1">
      <c r="A408" s="119"/>
    </row>
    <row r="409" spans="1:1">
      <c r="A409" s="119" t="s">
        <v>428</v>
      </c>
    </row>
    <row r="410" spans="1:1">
      <c r="A410" s="119" t="s">
        <v>429</v>
      </c>
    </row>
    <row r="411" spans="1:1">
      <c r="A411" s="119" t="s">
        <v>430</v>
      </c>
    </row>
    <row r="412" spans="1:1">
      <c r="A412" s="119" t="s">
        <v>431</v>
      </c>
    </row>
    <row r="413" spans="1:1">
      <c r="A413" s="119" t="s">
        <v>432</v>
      </c>
    </row>
    <row r="414" spans="1:1">
      <c r="A414" s="119"/>
    </row>
    <row r="415" spans="1:1">
      <c r="A415" s="119" t="s">
        <v>433</v>
      </c>
    </row>
    <row r="416" spans="1:1">
      <c r="A416" s="119" t="s">
        <v>434</v>
      </c>
    </row>
    <row r="417" spans="1:1">
      <c r="A417" s="119" t="s">
        <v>435</v>
      </c>
    </row>
    <row r="418" spans="1:1">
      <c r="A418" s="119" t="s">
        <v>436</v>
      </c>
    </row>
    <row r="419" spans="1:1">
      <c r="A419" s="119" t="s">
        <v>437</v>
      </c>
    </row>
    <row r="420" spans="1:1">
      <c r="A420" s="119" t="s">
        <v>438</v>
      </c>
    </row>
    <row r="421" spans="1:1">
      <c r="A421" s="119"/>
    </row>
    <row r="422" spans="1:1">
      <c r="A422" s="119" t="s">
        <v>439</v>
      </c>
    </row>
    <row r="423" spans="1:1">
      <c r="A423" s="119" t="s">
        <v>440</v>
      </c>
    </row>
    <row r="424" spans="1:1">
      <c r="A424" s="119" t="s">
        <v>441</v>
      </c>
    </row>
    <row r="425" spans="1:1">
      <c r="A425" s="119" t="s">
        <v>442</v>
      </c>
    </row>
    <row r="426" spans="1:1">
      <c r="A426" s="119" t="s">
        <v>443</v>
      </c>
    </row>
    <row r="427" spans="1:1">
      <c r="A427" s="119" t="s">
        <v>444</v>
      </c>
    </row>
    <row r="428" spans="1:1">
      <c r="A428" s="119"/>
    </row>
    <row r="429" spans="1:1">
      <c r="A429" s="119" t="s">
        <v>445</v>
      </c>
    </row>
    <row r="430" spans="1:1">
      <c r="A430" s="119" t="s">
        <v>446</v>
      </c>
    </row>
    <row r="431" spans="1:1">
      <c r="A431" s="119" t="s">
        <v>447</v>
      </c>
    </row>
    <row r="432" spans="1:1">
      <c r="A432" s="119" t="s">
        <v>448</v>
      </c>
    </row>
    <row r="433" spans="1:1">
      <c r="A433" s="119" t="s">
        <v>449</v>
      </c>
    </row>
    <row r="434" spans="1:1">
      <c r="A434" s="119"/>
    </row>
    <row r="435" spans="1:1">
      <c r="A435" s="119" t="s">
        <v>450</v>
      </c>
    </row>
    <row r="436" spans="1:1">
      <c r="A436" s="119"/>
    </row>
    <row r="437" spans="1:1">
      <c r="A437" s="119" t="s">
        <v>451</v>
      </c>
    </row>
    <row r="438" spans="1:1">
      <c r="A438" s="119" t="s">
        <v>452</v>
      </c>
    </row>
    <row r="439" spans="1:1">
      <c r="A439" s="119" t="s">
        <v>453</v>
      </c>
    </row>
    <row r="440" spans="1:1">
      <c r="A440" s="119" t="s">
        <v>454</v>
      </c>
    </row>
    <row r="441" spans="1:1">
      <c r="A441" s="119" t="s">
        <v>455</v>
      </c>
    </row>
    <row r="442" spans="1:1">
      <c r="A442" s="119" t="s">
        <v>456</v>
      </c>
    </row>
    <row r="443" spans="1:1">
      <c r="A443" s="119" t="s">
        <v>457</v>
      </c>
    </row>
    <row r="444" spans="1:1">
      <c r="A444" s="119" t="s">
        <v>458</v>
      </c>
    </row>
    <row r="445" spans="1:1">
      <c r="A445" s="119"/>
    </row>
    <row r="446" spans="1:1">
      <c r="A446" s="119" t="s">
        <v>459</v>
      </c>
    </row>
    <row r="447" spans="1:1">
      <c r="A447" s="119"/>
    </row>
    <row r="448" spans="1:1">
      <c r="A448" s="119" t="s">
        <v>460</v>
      </c>
    </row>
    <row r="449" spans="1:1">
      <c r="A449" s="119" t="s">
        <v>461</v>
      </c>
    </row>
    <row r="450" spans="1:1">
      <c r="A450" s="119" t="s">
        <v>462</v>
      </c>
    </row>
    <row r="451" spans="1:1">
      <c r="A451" s="119" t="s">
        <v>463</v>
      </c>
    </row>
    <row r="452" spans="1:1">
      <c r="A452" s="119"/>
    </row>
    <row r="453" spans="1:1">
      <c r="A453" s="119" t="s">
        <v>464</v>
      </c>
    </row>
    <row r="454" spans="1:1">
      <c r="A454" s="119" t="s">
        <v>465</v>
      </c>
    </row>
    <row r="455" spans="1:1">
      <c r="A455" s="119" t="s">
        <v>466</v>
      </c>
    </row>
    <row r="456" spans="1:1">
      <c r="A456" s="119" t="s">
        <v>467</v>
      </c>
    </row>
    <row r="457" spans="1:1">
      <c r="A457" s="119" t="s">
        <v>468</v>
      </c>
    </row>
    <row r="458" spans="1:1">
      <c r="A458" s="119" t="s">
        <v>469</v>
      </c>
    </row>
    <row r="459" spans="1:1">
      <c r="A459" s="119" t="s">
        <v>470</v>
      </c>
    </row>
    <row r="460" spans="1:1">
      <c r="A460" s="119" t="s">
        <v>471</v>
      </c>
    </row>
    <row r="461" spans="1:1">
      <c r="A461" s="119" t="s">
        <v>472</v>
      </c>
    </row>
    <row r="462" spans="1:1">
      <c r="A462" s="119"/>
    </row>
    <row r="463" spans="1:1">
      <c r="A463" s="119" t="s">
        <v>473</v>
      </c>
    </row>
    <row r="464" spans="1:1">
      <c r="A464" s="119" t="s">
        <v>474</v>
      </c>
    </row>
    <row r="465" spans="1:1">
      <c r="A465" s="119" t="s">
        <v>475</v>
      </c>
    </row>
    <row r="466" spans="1:1">
      <c r="A466" s="119" t="s">
        <v>476</v>
      </c>
    </row>
    <row r="467" spans="1:1">
      <c r="A467" s="119" t="s">
        <v>477</v>
      </c>
    </row>
    <row r="468" spans="1:1">
      <c r="A468" s="119" t="s">
        <v>478</v>
      </c>
    </row>
    <row r="469" spans="1:1">
      <c r="A469" s="119" t="s">
        <v>479</v>
      </c>
    </row>
    <row r="470" spans="1:1">
      <c r="A470" s="119"/>
    </row>
    <row r="471" spans="1:1">
      <c r="A471" s="119" t="s">
        <v>480</v>
      </c>
    </row>
    <row r="472" spans="1:1">
      <c r="A472" s="119"/>
    </row>
    <row r="473" spans="1:1">
      <c r="A473" s="119" t="s">
        <v>481</v>
      </c>
    </row>
    <row r="474" spans="1:1">
      <c r="A474" s="119" t="s">
        <v>482</v>
      </c>
    </row>
    <row r="475" spans="1:1">
      <c r="A475" s="119" t="s">
        <v>483</v>
      </c>
    </row>
    <row r="476" spans="1:1">
      <c r="A476" s="119"/>
    </row>
    <row r="477" spans="1:1">
      <c r="A477" s="119" t="s">
        <v>484</v>
      </c>
    </row>
    <row r="478" spans="1:1">
      <c r="A478" s="119" t="s">
        <v>485</v>
      </c>
    </row>
    <row r="479" spans="1:1">
      <c r="A479" s="119" t="s">
        <v>486</v>
      </c>
    </row>
    <row r="480" spans="1:1">
      <c r="A480" s="119" t="s">
        <v>487</v>
      </c>
    </row>
    <row r="481" spans="1:1">
      <c r="A481" s="119" t="s">
        <v>488</v>
      </c>
    </row>
    <row r="482" spans="1:1">
      <c r="A482" s="119" t="s">
        <v>489</v>
      </c>
    </row>
    <row r="483" spans="1:1">
      <c r="A483" s="119" t="s">
        <v>490</v>
      </c>
    </row>
    <row r="484" spans="1:1">
      <c r="A484" s="119" t="s">
        <v>491</v>
      </c>
    </row>
    <row r="485" spans="1:1">
      <c r="A485" s="119" t="s">
        <v>492</v>
      </c>
    </row>
    <row r="486" spans="1:1">
      <c r="A486" s="119"/>
    </row>
    <row r="487" spans="1:1">
      <c r="A487" s="119" t="s">
        <v>493</v>
      </c>
    </row>
    <row r="488" spans="1:1">
      <c r="A488" s="119" t="s">
        <v>494</v>
      </c>
    </row>
    <row r="489" spans="1:1">
      <c r="A489" s="119" t="s">
        <v>495</v>
      </c>
    </row>
    <row r="490" spans="1:1">
      <c r="A490" s="119" t="s">
        <v>496</v>
      </c>
    </row>
    <row r="491" spans="1:1">
      <c r="A491" s="119"/>
    </row>
    <row r="492" spans="1:1">
      <c r="A492" s="119" t="s">
        <v>497</v>
      </c>
    </row>
    <row r="493" spans="1:1">
      <c r="A493" s="119" t="s">
        <v>498</v>
      </c>
    </row>
    <row r="494" spans="1:1">
      <c r="A494" s="119" t="s">
        <v>499</v>
      </c>
    </row>
    <row r="495" spans="1:1">
      <c r="A495" s="119" t="s">
        <v>500</v>
      </c>
    </row>
    <row r="496" spans="1:1">
      <c r="A496" s="119" t="s">
        <v>501</v>
      </c>
    </row>
    <row r="497" spans="1:1">
      <c r="A497" s="119" t="s">
        <v>502</v>
      </c>
    </row>
    <row r="498" spans="1:1">
      <c r="A498" s="119"/>
    </row>
    <row r="499" spans="1:1">
      <c r="A499" s="119" t="s">
        <v>503</v>
      </c>
    </row>
    <row r="500" spans="1:1">
      <c r="A500" s="119" t="s">
        <v>504</v>
      </c>
    </row>
    <row r="501" spans="1:1">
      <c r="A501" s="119" t="s">
        <v>505</v>
      </c>
    </row>
    <row r="502" spans="1:1">
      <c r="A502" s="119" t="s">
        <v>506</v>
      </c>
    </row>
    <row r="503" spans="1:1">
      <c r="A503" s="119" t="s">
        <v>507</v>
      </c>
    </row>
    <row r="504" spans="1:1">
      <c r="A504" s="119" t="s">
        <v>508</v>
      </c>
    </row>
    <row r="505" spans="1:1">
      <c r="A505" s="119" t="s">
        <v>509</v>
      </c>
    </row>
    <row r="506" spans="1:1">
      <c r="A506" s="119" t="s">
        <v>510</v>
      </c>
    </row>
    <row r="507" spans="1:1">
      <c r="A507" s="119" t="s">
        <v>511</v>
      </c>
    </row>
    <row r="508" spans="1:1">
      <c r="A508" s="119" t="s">
        <v>512</v>
      </c>
    </row>
    <row r="509" spans="1:1">
      <c r="A509" s="119" t="s">
        <v>513</v>
      </c>
    </row>
    <row r="510" spans="1:1">
      <c r="A510" s="119" t="s">
        <v>514</v>
      </c>
    </row>
    <row r="511" spans="1:1">
      <c r="A511" s="119" t="s">
        <v>515</v>
      </c>
    </row>
    <row r="512" spans="1:1">
      <c r="A512" s="119"/>
    </row>
    <row r="513" spans="1:1">
      <c r="A513" s="119" t="s">
        <v>516</v>
      </c>
    </row>
    <row r="514" spans="1:1">
      <c r="A514" s="119" t="s">
        <v>517</v>
      </c>
    </row>
    <row r="515" spans="1:1">
      <c r="A515" s="119" t="s">
        <v>518</v>
      </c>
    </row>
    <row r="516" spans="1:1">
      <c r="A516" s="119" t="s">
        <v>519</v>
      </c>
    </row>
    <row r="517" spans="1:1">
      <c r="A517" s="119" t="s">
        <v>520</v>
      </c>
    </row>
    <row r="518" spans="1:1">
      <c r="A518" s="119" t="s">
        <v>521</v>
      </c>
    </row>
    <row r="519" spans="1:1">
      <c r="A519" s="119" t="s">
        <v>522</v>
      </c>
    </row>
    <row r="520" spans="1:1">
      <c r="A520" s="119"/>
    </row>
    <row r="521" spans="1:1">
      <c r="A521" s="119" t="s">
        <v>523</v>
      </c>
    </row>
    <row r="522" spans="1:1">
      <c r="A522" s="119" t="s">
        <v>524</v>
      </c>
    </row>
    <row r="523" spans="1:1">
      <c r="A523" s="119" t="s">
        <v>525</v>
      </c>
    </row>
    <row r="524" spans="1:1">
      <c r="A524" s="119" t="s">
        <v>526</v>
      </c>
    </row>
    <row r="525" spans="1:1">
      <c r="A525" s="119" t="s">
        <v>527</v>
      </c>
    </row>
    <row r="526" spans="1:1">
      <c r="A526" s="119" t="s">
        <v>528</v>
      </c>
    </row>
    <row r="527" spans="1:1">
      <c r="A527" s="119" t="s">
        <v>529</v>
      </c>
    </row>
    <row r="528" spans="1:1">
      <c r="A528" s="119" t="s">
        <v>530</v>
      </c>
    </row>
    <row r="529" spans="1:1">
      <c r="A529" s="119" t="s">
        <v>531</v>
      </c>
    </row>
    <row r="530" spans="1:1">
      <c r="A530" s="119" t="s">
        <v>532</v>
      </c>
    </row>
    <row r="531" spans="1:1">
      <c r="A531" s="119" t="s">
        <v>533</v>
      </c>
    </row>
    <row r="532" spans="1:1">
      <c r="A532" s="119" t="s">
        <v>534</v>
      </c>
    </row>
    <row r="533" spans="1:1">
      <c r="A533" s="119" t="s">
        <v>535</v>
      </c>
    </row>
    <row r="534" spans="1:1">
      <c r="A534" s="119" t="s">
        <v>536</v>
      </c>
    </row>
    <row r="535" spans="1:1">
      <c r="A535" s="119"/>
    </row>
    <row r="536" spans="1:1">
      <c r="A536" s="119" t="s">
        <v>537</v>
      </c>
    </row>
    <row r="537" spans="1:1">
      <c r="A537" s="119" t="s">
        <v>538</v>
      </c>
    </row>
    <row r="538" spans="1:1">
      <c r="A538" s="119" t="s">
        <v>539</v>
      </c>
    </row>
    <row r="539" spans="1:1">
      <c r="A539" s="119"/>
    </row>
    <row r="540" spans="1:1">
      <c r="A540" s="119" t="s">
        <v>540</v>
      </c>
    </row>
    <row r="541" spans="1:1">
      <c r="A541" s="119"/>
    </row>
    <row r="542" spans="1:1">
      <c r="A542" s="119" t="s">
        <v>541</v>
      </c>
    </row>
    <row r="543" spans="1:1">
      <c r="A543" s="119" t="s">
        <v>542</v>
      </c>
    </row>
    <row r="544" spans="1:1">
      <c r="A544" s="119" t="s">
        <v>543</v>
      </c>
    </row>
    <row r="545" spans="1:1">
      <c r="A545" s="119" t="s">
        <v>544</v>
      </c>
    </row>
    <row r="546" spans="1:1">
      <c r="A546" s="119" t="s">
        <v>545</v>
      </c>
    </row>
    <row r="547" spans="1:1">
      <c r="A547" s="119" t="s">
        <v>546</v>
      </c>
    </row>
    <row r="548" spans="1:1">
      <c r="A548" s="119" t="s">
        <v>547</v>
      </c>
    </row>
    <row r="549" spans="1:1">
      <c r="A549" s="119" t="s">
        <v>548</v>
      </c>
    </row>
    <row r="550" spans="1:1">
      <c r="A550" s="119" t="s">
        <v>549</v>
      </c>
    </row>
    <row r="551" spans="1:1">
      <c r="A551" s="119"/>
    </row>
    <row r="552" spans="1:1">
      <c r="A552" s="119" t="s">
        <v>550</v>
      </c>
    </row>
    <row r="553" spans="1:1">
      <c r="A553" s="119"/>
    </row>
    <row r="554" spans="1:1">
      <c r="A554" s="119" t="s">
        <v>551</v>
      </c>
    </row>
    <row r="555" spans="1:1">
      <c r="A555" s="119" t="s">
        <v>552</v>
      </c>
    </row>
    <row r="556" spans="1:1">
      <c r="A556" s="119" t="s">
        <v>553</v>
      </c>
    </row>
    <row r="557" spans="1:1">
      <c r="A557" s="119" t="s">
        <v>554</v>
      </c>
    </row>
    <row r="558" spans="1:1">
      <c r="A558" s="119" t="s">
        <v>555</v>
      </c>
    </row>
    <row r="559" spans="1:1">
      <c r="A559" s="119" t="s">
        <v>556</v>
      </c>
    </row>
    <row r="560" spans="1:1">
      <c r="A560" s="119" t="s">
        <v>557</v>
      </c>
    </row>
    <row r="561" spans="1:1">
      <c r="A561" s="119" t="s">
        <v>558</v>
      </c>
    </row>
    <row r="562" spans="1:1">
      <c r="A562" s="119"/>
    </row>
    <row r="563" spans="1:1">
      <c r="A563" s="119" t="s">
        <v>559</v>
      </c>
    </row>
    <row r="564" spans="1:1">
      <c r="A564" s="119"/>
    </row>
    <row r="565" spans="1:1">
      <c r="A565" s="119" t="s">
        <v>560</v>
      </c>
    </row>
    <row r="566" spans="1:1">
      <c r="A566" s="119" t="s">
        <v>561</v>
      </c>
    </row>
    <row r="567" spans="1:1">
      <c r="A567" s="119" t="s">
        <v>562</v>
      </c>
    </row>
    <row r="568" spans="1:1">
      <c r="A568" s="119" t="s">
        <v>563</v>
      </c>
    </row>
    <row r="569" spans="1:1">
      <c r="A569" s="119"/>
    </row>
    <row r="570" spans="1:1">
      <c r="A570" s="119" t="s">
        <v>564</v>
      </c>
    </row>
    <row r="571" spans="1:1">
      <c r="A571" s="119" t="s">
        <v>565</v>
      </c>
    </row>
    <row r="572" spans="1:1">
      <c r="A572" s="119" t="s">
        <v>566</v>
      </c>
    </row>
    <row r="573" spans="1:1">
      <c r="A573" s="119" t="s">
        <v>567</v>
      </c>
    </row>
    <row r="574" spans="1:1">
      <c r="A574" s="119" t="s">
        <v>568</v>
      </c>
    </row>
    <row r="575" spans="1:1">
      <c r="A575" s="119" t="s">
        <v>569</v>
      </c>
    </row>
    <row r="576" spans="1:1">
      <c r="A576" s="119" t="s">
        <v>570</v>
      </c>
    </row>
    <row r="577" spans="1:1">
      <c r="A577" s="119" t="s">
        <v>571</v>
      </c>
    </row>
    <row r="578" spans="1:1">
      <c r="A578" s="119"/>
    </row>
    <row r="579" spans="1:1">
      <c r="A579" s="119" t="s">
        <v>572</v>
      </c>
    </row>
    <row r="580" spans="1:1">
      <c r="A580" s="119" t="s">
        <v>573</v>
      </c>
    </row>
    <row r="581" spans="1:1">
      <c r="A581" s="119" t="s">
        <v>574</v>
      </c>
    </row>
    <row r="582" spans="1:1">
      <c r="A582" s="119" t="s">
        <v>575</v>
      </c>
    </row>
    <row r="583" spans="1:1">
      <c r="A583" s="119"/>
    </row>
    <row r="584" spans="1:1">
      <c r="A584" s="119" t="s">
        <v>576</v>
      </c>
    </row>
    <row r="585" spans="1:1">
      <c r="A585" s="119" t="s">
        <v>577</v>
      </c>
    </row>
    <row r="586" spans="1:1">
      <c r="A586" s="119" t="s">
        <v>578</v>
      </c>
    </row>
    <row r="587" spans="1:1">
      <c r="A587" s="119" t="s">
        <v>579</v>
      </c>
    </row>
    <row r="588" spans="1:1">
      <c r="A588" s="119"/>
    </row>
    <row r="589" spans="1:1">
      <c r="A589" s="119" t="s">
        <v>580</v>
      </c>
    </row>
    <row r="590" spans="1:1">
      <c r="A590" s="119"/>
    </row>
    <row r="591" spans="1:1">
      <c r="A591" s="119" t="s">
        <v>581</v>
      </c>
    </row>
    <row r="592" spans="1:1">
      <c r="A592" s="119" t="s">
        <v>582</v>
      </c>
    </row>
    <row r="593" spans="1:1">
      <c r="A593" s="119" t="s">
        <v>583</v>
      </c>
    </row>
    <row r="594" spans="1:1">
      <c r="A594" s="119" t="s">
        <v>584</v>
      </c>
    </row>
    <row r="595" spans="1:1">
      <c r="A595" s="119" t="s">
        <v>585</v>
      </c>
    </row>
    <row r="596" spans="1:1">
      <c r="A596" s="119" t="s">
        <v>586</v>
      </c>
    </row>
    <row r="597" spans="1:1">
      <c r="A597" s="119" t="s">
        <v>587</v>
      </c>
    </row>
    <row r="598" spans="1:1">
      <c r="A598" s="119" t="s">
        <v>588</v>
      </c>
    </row>
    <row r="599" spans="1:1">
      <c r="A599" s="119"/>
    </row>
    <row r="600" spans="1:1">
      <c r="A600" s="119" t="s">
        <v>589</v>
      </c>
    </row>
    <row r="601" spans="1:1">
      <c r="A601" s="119"/>
    </row>
    <row r="602" spans="1:1">
      <c r="A602" s="119" t="s">
        <v>590</v>
      </c>
    </row>
    <row r="603" spans="1:1">
      <c r="A603" s="119" t="s">
        <v>591</v>
      </c>
    </row>
    <row r="604" spans="1:1">
      <c r="A604" s="119" t="s">
        <v>592</v>
      </c>
    </row>
    <row r="605" spans="1:1">
      <c r="A605" s="119" t="s">
        <v>593</v>
      </c>
    </row>
    <row r="606" spans="1:1">
      <c r="A606" s="119" t="s">
        <v>594</v>
      </c>
    </row>
    <row r="607" spans="1:1">
      <c r="A607" s="119" t="s">
        <v>595</v>
      </c>
    </row>
    <row r="608" spans="1:1">
      <c r="A608" s="119" t="s">
        <v>596</v>
      </c>
    </row>
    <row r="609" spans="1:1">
      <c r="A609" s="119" t="s">
        <v>597</v>
      </c>
    </row>
    <row r="610" spans="1:1">
      <c r="A610" s="119" t="s">
        <v>598</v>
      </c>
    </row>
    <row r="611" spans="1:1">
      <c r="A611" s="119"/>
    </row>
    <row r="612" spans="1:1">
      <c r="A612" s="119" t="s">
        <v>599</v>
      </c>
    </row>
    <row r="613" spans="1:1">
      <c r="A613" s="119"/>
    </row>
    <row r="614" spans="1:1">
      <c r="A614" s="119" t="s">
        <v>600</v>
      </c>
    </row>
    <row r="615" spans="1:1">
      <c r="A615" s="119" t="s">
        <v>601</v>
      </c>
    </row>
    <row r="616" spans="1:1">
      <c r="A616" s="119" t="s">
        <v>602</v>
      </c>
    </row>
    <row r="617" spans="1:1">
      <c r="A617" s="119" t="s">
        <v>603</v>
      </c>
    </row>
    <row r="618" spans="1:1">
      <c r="A618" s="119" t="s">
        <v>604</v>
      </c>
    </row>
    <row r="619" spans="1:1">
      <c r="A619" s="119" t="s">
        <v>605</v>
      </c>
    </row>
    <row r="620" spans="1:1">
      <c r="A620" s="119"/>
    </row>
    <row r="621" spans="1:1">
      <c r="A621" s="119" t="s">
        <v>606</v>
      </c>
    </row>
    <row r="622" spans="1:1">
      <c r="A622" s="119"/>
    </row>
    <row r="623" spans="1:1">
      <c r="A623" s="119"/>
    </row>
    <row r="624" spans="1:1">
      <c r="A624" s="119"/>
    </row>
    <row r="625" spans="1:1">
      <c r="A625" s="119"/>
    </row>
    <row r="626" spans="1:1">
      <c r="A626" s="119"/>
    </row>
    <row r="627" spans="1:1">
      <c r="A627" s="119"/>
    </row>
    <row r="628" spans="1:1">
      <c r="A628" s="119"/>
    </row>
    <row r="629" spans="1:1">
      <c r="A629" s="119"/>
    </row>
    <row r="630" spans="1:1">
      <c r="A630" s="119"/>
    </row>
    <row r="631" spans="1:1">
      <c r="A631" s="119"/>
    </row>
    <row r="632" spans="1:1">
      <c r="A632" s="119"/>
    </row>
    <row r="633" spans="1:1">
      <c r="A633" s="119"/>
    </row>
    <row r="634" spans="1:1">
      <c r="A634" s="119"/>
    </row>
    <row r="635" spans="1:1">
      <c r="A635" s="119"/>
    </row>
    <row r="636" spans="1:1">
      <c r="A636" s="119"/>
    </row>
    <row r="637" spans="1:1">
      <c r="A637" s="119"/>
    </row>
    <row r="638" spans="1:1">
      <c r="A638" s="119"/>
    </row>
    <row r="639" spans="1:1">
      <c r="A639" s="119"/>
    </row>
    <row r="640" spans="1:1">
      <c r="A640" s="119"/>
    </row>
    <row r="641" spans="1:1">
      <c r="A641" s="119"/>
    </row>
    <row r="642" spans="1:1">
      <c r="A642" s="119"/>
    </row>
    <row r="643" spans="1:1">
      <c r="A643" s="119"/>
    </row>
    <row r="644" spans="1:1">
      <c r="A644" s="119"/>
    </row>
    <row r="645" spans="1:1">
      <c r="A645" s="119"/>
    </row>
    <row r="646" spans="1:1">
      <c r="A646" s="119"/>
    </row>
    <row r="647" spans="1:1">
      <c r="A647" s="119"/>
    </row>
    <row r="648" spans="1:1">
      <c r="A648" s="119"/>
    </row>
    <row r="649" spans="1:1">
      <c r="A649" s="119"/>
    </row>
    <row r="650" spans="1:1">
      <c r="A650" s="119"/>
    </row>
    <row r="651" spans="1:1">
      <c r="A651" s="119"/>
    </row>
    <row r="652" spans="1:1">
      <c r="A652" s="119"/>
    </row>
    <row r="653" spans="1:1">
      <c r="A653" s="119"/>
    </row>
    <row r="654" spans="1:1">
      <c r="A654" s="119"/>
    </row>
    <row r="655" spans="1:1">
      <c r="A655" s="119"/>
    </row>
    <row r="656" spans="1:1">
      <c r="A656" s="119"/>
    </row>
    <row r="657" spans="1:1">
      <c r="A657" s="119"/>
    </row>
    <row r="658" spans="1:1">
      <c r="A658" s="119"/>
    </row>
    <row r="659" spans="1:1">
      <c r="A659" s="119"/>
    </row>
    <row r="660" spans="1:1">
      <c r="A660" s="119"/>
    </row>
    <row r="661" spans="1:1">
      <c r="A661" s="119"/>
    </row>
    <row r="662" spans="1:1">
      <c r="A662" s="119"/>
    </row>
    <row r="663" spans="1:1">
      <c r="A663" s="119"/>
    </row>
    <row r="664" spans="1:1">
      <c r="A664" s="119"/>
    </row>
    <row r="665" spans="1:1">
      <c r="A665" s="119"/>
    </row>
    <row r="666" spans="1:1">
      <c r="A666" s="119"/>
    </row>
    <row r="667" spans="1:1">
      <c r="A667" s="119"/>
    </row>
    <row r="668" spans="1:1">
      <c r="A668" s="119"/>
    </row>
    <row r="669" spans="1:1">
      <c r="A669" s="119"/>
    </row>
    <row r="670" spans="1:1">
      <c r="A670" s="119"/>
    </row>
    <row r="671" spans="1:1">
      <c r="A671" s="119"/>
    </row>
    <row r="672" spans="1:1">
      <c r="A672" s="119"/>
    </row>
    <row r="673" spans="1:1">
      <c r="A673" s="119"/>
    </row>
    <row r="674" spans="1:1">
      <c r="A674" s="119"/>
    </row>
    <row r="675" spans="1:1">
      <c r="A675" s="120"/>
    </row>
    <row r="676" spans="1:1">
      <c r="A676" s="11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A9EE4-A4B8-419E-B746-FED4BEC0061B}">
  <dimension ref="A1:I41"/>
  <sheetViews>
    <sheetView showRowColHeaders="0" workbookViewId="0">
      <pane ySplit="2" topLeftCell="A3" activePane="bottomLeft" state="frozen"/>
      <selection pane="bottomLeft" activeCell="B2" sqref="B2"/>
    </sheetView>
  </sheetViews>
  <sheetFormatPr defaultColWidth="9" defaultRowHeight="14.25"/>
  <cols>
    <col min="1" max="1" width="9" style="5"/>
    <col min="2" max="2" width="99.1328125" style="5" customWidth="1"/>
    <col min="3" max="16384" width="9" style="5"/>
  </cols>
  <sheetData>
    <row r="1" spans="1:7">
      <c r="A1" s="3"/>
      <c r="B1" s="3"/>
      <c r="C1" s="100"/>
    </row>
    <row r="2" spans="1:7" ht="28.5">
      <c r="A2" s="3"/>
      <c r="B2" s="71" t="s">
        <v>648</v>
      </c>
      <c r="C2" s="101"/>
    </row>
    <row r="3" spans="1:7">
      <c r="A3" s="3"/>
      <c r="B3" s="3"/>
    </row>
    <row r="4" spans="1:7" ht="16.899999999999999">
      <c r="A4" s="3"/>
      <c r="B4" s="3" t="s">
        <v>806</v>
      </c>
      <c r="D4" s="106"/>
      <c r="G4" s="102"/>
    </row>
    <row r="5" spans="1:7">
      <c r="A5" s="3"/>
      <c r="B5" s="3" t="s">
        <v>652</v>
      </c>
      <c r="D5" s="107"/>
      <c r="G5" s="102"/>
    </row>
    <row r="6" spans="1:7">
      <c r="A6" s="3"/>
      <c r="B6" s="3" t="s">
        <v>649</v>
      </c>
      <c r="G6" s="102"/>
    </row>
    <row r="7" spans="1:7">
      <c r="A7" s="3"/>
      <c r="B7" s="3"/>
      <c r="G7" s="102"/>
    </row>
    <row r="8" spans="1:7" ht="16.899999999999999">
      <c r="A8" s="3"/>
      <c r="B8" s="3" t="s">
        <v>641</v>
      </c>
      <c r="D8" s="108"/>
      <c r="G8" s="102"/>
    </row>
    <row r="9" spans="1:7">
      <c r="A9" s="3"/>
      <c r="B9" s="3" t="s">
        <v>642</v>
      </c>
      <c r="D9" s="107"/>
      <c r="G9" s="102"/>
    </row>
    <row r="10" spans="1:7">
      <c r="A10" s="3"/>
      <c r="B10" s="3" t="s">
        <v>645</v>
      </c>
      <c r="G10" s="102"/>
    </row>
    <row r="11" spans="1:7">
      <c r="A11" s="3"/>
      <c r="B11" s="3"/>
      <c r="G11" s="102"/>
    </row>
    <row r="12" spans="1:7">
      <c r="A12" s="3"/>
      <c r="B12" s="3" t="s">
        <v>643</v>
      </c>
      <c r="G12" s="102"/>
    </row>
    <row r="13" spans="1:7">
      <c r="A13" s="3"/>
      <c r="B13" s="3" t="s">
        <v>644</v>
      </c>
      <c r="G13" s="102"/>
    </row>
    <row r="14" spans="1:7">
      <c r="A14" s="3"/>
      <c r="B14" s="3" t="s">
        <v>653</v>
      </c>
      <c r="G14" s="102"/>
    </row>
    <row r="15" spans="1:7">
      <c r="A15" s="3"/>
      <c r="B15" s="3"/>
      <c r="G15" s="102"/>
    </row>
    <row r="16" spans="1:7">
      <c r="A16" s="3"/>
      <c r="B16" s="3" t="s">
        <v>795</v>
      </c>
      <c r="G16" s="103"/>
    </row>
    <row r="17" spans="1:9">
      <c r="A17" s="3"/>
      <c r="B17" s="3" t="s">
        <v>794</v>
      </c>
      <c r="G17" s="102"/>
    </row>
    <row r="18" spans="1:9">
      <c r="A18" s="3"/>
      <c r="B18" s="3" t="s">
        <v>796</v>
      </c>
      <c r="G18" s="225"/>
      <c r="H18" s="225"/>
      <c r="I18" s="225"/>
    </row>
    <row r="19" spans="1:9">
      <c r="A19" s="3"/>
      <c r="B19" s="3"/>
      <c r="G19" s="102"/>
    </row>
    <row r="20" spans="1:9">
      <c r="A20" s="3"/>
      <c r="B20" s="222"/>
    </row>
    <row r="21" spans="1:9">
      <c r="A21" s="3"/>
      <c r="B21" s="3"/>
    </row>
    <row r="22" spans="1:9">
      <c r="A22" s="3"/>
      <c r="B22" s="7" t="str">
        <f>CONCATENATE("Version ",'Change Log'!$B$3," – © 2022-",YEAR('Change Log'!$A$3),IF('Change Log'!$C$3="William W. Davis",", William W. Davis, MSPM, PMP",CONCATENATE(", original copyright holder is William W. Davis, MSPM, PMP; later modified by ",'Change Log'!$C$3)))</f>
        <v>Version 1.4 – © 2022-2025, William W. Davis, MSPM, PMP</v>
      </c>
      <c r="D22" s="117"/>
    </row>
    <row r="23" spans="1:9">
      <c r="A23" s="3"/>
      <c r="B23" s="68" t="s">
        <v>828</v>
      </c>
    </row>
    <row r="24" spans="1:9">
      <c r="A24" s="3"/>
      <c r="B24" s="68" t="s">
        <v>827</v>
      </c>
      <c r="D24" s="117"/>
    </row>
    <row r="25" spans="1:9">
      <c r="A25" s="3"/>
      <c r="B25" s="68" t="s">
        <v>47</v>
      </c>
      <c r="C25" s="6"/>
      <c r="D25" s="117"/>
      <c r="H25" s="6"/>
    </row>
    <row r="26" spans="1:9">
      <c r="A26" s="3"/>
      <c r="B26" s="68" t="s">
        <v>91</v>
      </c>
      <c r="C26" s="67"/>
      <c r="D26" s="223"/>
      <c r="E26" s="67"/>
      <c r="F26" s="67"/>
      <c r="G26" s="67"/>
      <c r="H26" s="67"/>
    </row>
    <row r="27" spans="1:9">
      <c r="A27" s="3"/>
      <c r="B27" s="68" t="s">
        <v>826</v>
      </c>
      <c r="C27" s="67"/>
      <c r="D27" s="117" t="s">
        <v>808</v>
      </c>
      <c r="H27" s="6"/>
    </row>
    <row r="28" spans="1:9">
      <c r="A28" s="3"/>
      <c r="B28" s="72" t="s">
        <v>86</v>
      </c>
      <c r="C28" s="67"/>
      <c r="D28" s="117" t="s">
        <v>809</v>
      </c>
      <c r="H28" s="6"/>
    </row>
    <row r="29" spans="1:9">
      <c r="A29" s="3"/>
      <c r="B29" s="72" t="s">
        <v>46</v>
      </c>
      <c r="C29" s="67"/>
      <c r="D29" s="117" t="s">
        <v>810</v>
      </c>
      <c r="H29" s="6"/>
    </row>
    <row r="30" spans="1:9">
      <c r="A30" s="3"/>
      <c r="B30" s="72" t="s">
        <v>85</v>
      </c>
      <c r="C30" s="67"/>
      <c r="D30" s="117"/>
      <c r="H30" s="6"/>
    </row>
    <row r="31" spans="1:9">
      <c r="A31" s="3"/>
      <c r="B31" s="72" t="s">
        <v>87</v>
      </c>
      <c r="C31" s="6"/>
      <c r="D31" s="117" t="s">
        <v>811</v>
      </c>
      <c r="H31" s="6"/>
    </row>
    <row r="32" spans="1:9">
      <c r="A32" s="3"/>
      <c r="B32" s="72" t="s">
        <v>608</v>
      </c>
      <c r="C32" s="6"/>
      <c r="D32" s="117" t="s">
        <v>812</v>
      </c>
      <c r="H32" s="6"/>
    </row>
    <row r="33" spans="1:8">
      <c r="A33" s="3"/>
      <c r="B33" s="72" t="s">
        <v>609</v>
      </c>
      <c r="C33" s="6"/>
      <c r="D33" s="117" t="s">
        <v>813</v>
      </c>
      <c r="H33" s="6"/>
    </row>
    <row r="34" spans="1:8">
      <c r="A34" s="3"/>
      <c r="B34" s="72"/>
      <c r="C34" s="6"/>
      <c r="D34" s="117" t="s">
        <v>814</v>
      </c>
      <c r="H34" s="6"/>
    </row>
    <row r="35" spans="1:8">
      <c r="A35" s="3"/>
      <c r="B35" s="72" t="s">
        <v>610</v>
      </c>
      <c r="C35" s="6"/>
      <c r="H35" s="6"/>
    </row>
    <row r="36" spans="1:8">
      <c r="A36" s="3"/>
      <c r="B36" s="72" t="s">
        <v>45</v>
      </c>
      <c r="C36" s="6"/>
      <c r="D36" s="117" t="s">
        <v>815</v>
      </c>
      <c r="H36" s="6"/>
    </row>
    <row r="37" spans="1:8">
      <c r="A37" s="3"/>
      <c r="B37" s="118" t="s">
        <v>613</v>
      </c>
      <c r="C37" s="6"/>
      <c r="D37" s="117" t="s">
        <v>816</v>
      </c>
      <c r="H37" s="6"/>
    </row>
    <row r="38" spans="1:8">
      <c r="A38" s="3"/>
      <c r="B38" s="72"/>
      <c r="C38" s="6"/>
      <c r="D38" s="117" t="s">
        <v>817</v>
      </c>
      <c r="H38" s="6"/>
    </row>
    <row r="39" spans="1:8">
      <c r="A39" s="7"/>
      <c r="B39" s="72"/>
      <c r="C39" s="6"/>
      <c r="D39" s="117" t="s">
        <v>818</v>
      </c>
      <c r="H39" s="6"/>
    </row>
    <row r="40" spans="1:8">
      <c r="A40" s="3"/>
      <c r="B40" s="118"/>
      <c r="D40" s="117"/>
    </row>
    <row r="41" spans="1:8">
      <c r="A41" s="3"/>
      <c r="B41" s="3"/>
    </row>
  </sheetData>
  <mergeCells count="1">
    <mergeCell ref="G18:I18"/>
  </mergeCells>
  <hyperlinks>
    <hyperlink ref="B23" r:id="rId1" xr:uid="{C1D1B28B-9911-43B5-8EA7-E392D31ABF37}"/>
    <hyperlink ref="B24" r:id="rId2" xr:uid="{E883D8B0-452D-4A3A-9C58-E2A52B488FE2}"/>
    <hyperlink ref="B27" r:id="rId3" location="newsletter" display="Follow Statistical PERT on Twitter to learn when new updates are released" xr:uid="{ACE0EBCD-8968-44D0-8CCB-57A405DBCCED}"/>
    <hyperlink ref="B25" r:id="rId4" xr:uid="{DF8C8BB2-CDFF-4C98-B952-AAC7AC4D77B4}"/>
  </hyperlinks>
  <pageMargins left="0.7" right="0.7" top="0.75" bottom="0.75" header="0.3" footer="0.3"/>
  <pageSetup orientation="portrait" horizontalDpi="300" verticalDpi="300"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2E550-6A00-4AC3-AFE2-F34B04573731}">
  <dimension ref="A1:R207"/>
  <sheetViews>
    <sheetView showGridLines="0" zoomScaleNormal="100" workbookViewId="0">
      <pane ySplit="1" topLeftCell="A2" activePane="bottomLeft" state="frozen"/>
      <selection pane="bottomLeft" activeCell="C4" sqref="C4"/>
    </sheetView>
  </sheetViews>
  <sheetFormatPr defaultRowHeight="14.25"/>
  <cols>
    <col min="1" max="1" width="5.73046875" style="1" customWidth="1"/>
    <col min="2" max="2" width="70.73046875" customWidth="1"/>
    <col min="3" max="3" width="23.73046875" customWidth="1"/>
    <col min="4" max="5" width="13.73046875" customWidth="1"/>
    <col min="6" max="6" width="25.73046875" style="1" customWidth="1"/>
    <col min="7" max="7" width="7.73046875" style="1" customWidth="1"/>
    <col min="8" max="8" width="11.73046875" customWidth="1"/>
    <col min="9" max="9" width="13.53125" customWidth="1"/>
    <col min="10" max="10" width="13.73046875" customWidth="1"/>
    <col min="11" max="11" width="10.73046875" customWidth="1"/>
    <col min="12" max="17" width="13.73046875" customWidth="1"/>
    <col min="18" max="18" width="12.73046875" customWidth="1"/>
  </cols>
  <sheetData>
    <row r="1" spans="1:18" ht="30" customHeight="1" thickBot="1">
      <c r="A1" s="36"/>
      <c r="B1" s="71" t="s">
        <v>650</v>
      </c>
      <c r="C1" s="3"/>
      <c r="D1" s="3"/>
      <c r="E1" s="3"/>
      <c r="F1" s="2"/>
      <c r="G1" s="2"/>
      <c r="H1" s="3"/>
      <c r="I1" s="3"/>
      <c r="J1" s="3"/>
      <c r="K1" s="3"/>
      <c r="L1" s="18"/>
      <c r="M1" s="18"/>
      <c r="N1" s="18"/>
      <c r="O1" s="18"/>
      <c r="P1" s="18"/>
      <c r="Q1" s="18"/>
      <c r="R1" s="3"/>
    </row>
    <row r="2" spans="1:18" ht="30" customHeight="1" thickBot="1">
      <c r="A2" s="199"/>
      <c r="B2" s="200"/>
      <c r="C2" s="201"/>
      <c r="D2" s="202"/>
      <c r="E2" s="202"/>
      <c r="F2" s="203"/>
      <c r="G2" s="203"/>
      <c r="H2" s="202"/>
      <c r="I2" s="202"/>
      <c r="J2" s="202"/>
      <c r="K2" s="204"/>
      <c r="L2" s="198"/>
      <c r="M2" s="198"/>
      <c r="N2" s="198"/>
      <c r="O2" s="198"/>
      <c r="P2" s="198"/>
      <c r="Q2" s="198"/>
    </row>
    <row r="3" spans="1:18" ht="30" customHeight="1">
      <c r="A3" s="109"/>
      <c r="B3" s="110"/>
      <c r="C3" s="111" t="s">
        <v>793</v>
      </c>
      <c r="D3" s="112"/>
      <c r="E3" s="112"/>
      <c r="F3" s="113"/>
      <c r="G3" s="113"/>
      <c r="H3" s="112"/>
      <c r="I3" s="112"/>
      <c r="J3" s="112"/>
      <c r="K3" s="114"/>
      <c r="L3" s="18"/>
      <c r="M3" s="18"/>
      <c r="N3" s="18"/>
      <c r="O3" s="18"/>
      <c r="P3" s="18"/>
      <c r="Q3" s="18"/>
      <c r="R3" s="3"/>
    </row>
    <row r="4" spans="1:18" ht="20.2" customHeight="1">
      <c r="A4" s="84"/>
      <c r="B4" s="85" t="s">
        <v>646</v>
      </c>
      <c r="C4" s="179">
        <v>46112</v>
      </c>
      <c r="D4" s="95"/>
      <c r="E4" s="96"/>
      <c r="F4" s="97"/>
      <c r="G4" s="97"/>
      <c r="H4" s="96"/>
      <c r="I4" s="96"/>
      <c r="J4" s="96"/>
      <c r="K4" s="98"/>
      <c r="L4" s="18"/>
      <c r="M4" s="18"/>
      <c r="N4" s="18"/>
      <c r="O4" s="18"/>
      <c r="P4" s="18"/>
      <c r="Q4" s="18"/>
      <c r="R4" s="3"/>
    </row>
    <row r="5" spans="1:18" ht="20.2" customHeight="1">
      <c r="A5" s="84"/>
      <c r="B5" s="85" t="s">
        <v>647</v>
      </c>
      <c r="C5" s="179">
        <v>46114</v>
      </c>
      <c r="D5" s="95"/>
      <c r="E5" s="96"/>
      <c r="F5" s="97"/>
      <c r="G5" s="97"/>
      <c r="H5" s="96"/>
      <c r="I5" s="96"/>
      <c r="J5" s="96"/>
      <c r="K5" s="98"/>
      <c r="L5" s="18"/>
      <c r="M5" s="18"/>
      <c r="N5" s="18"/>
      <c r="O5" s="18"/>
      <c r="P5" s="18"/>
      <c r="Q5" s="18"/>
      <c r="R5" s="3"/>
    </row>
    <row r="6" spans="1:18" ht="20.2" customHeight="1">
      <c r="A6" s="84"/>
      <c r="B6" s="85" t="s">
        <v>775</v>
      </c>
      <c r="C6" s="196" t="s">
        <v>771</v>
      </c>
      <c r="D6" s="95" t="s">
        <v>839</v>
      </c>
      <c r="E6" s="96"/>
      <c r="F6" s="97"/>
      <c r="G6" s="97"/>
      <c r="H6" s="96"/>
      <c r="I6" s="96"/>
      <c r="J6" s="96"/>
      <c r="K6" s="98"/>
      <c r="L6" s="18"/>
      <c r="M6" s="18"/>
      <c r="N6" s="18"/>
      <c r="O6" s="18"/>
      <c r="P6" s="18"/>
      <c r="Q6" s="18"/>
      <c r="R6" s="3"/>
    </row>
    <row r="7" spans="1:18" ht="20.2" hidden="1" customHeight="1">
      <c r="A7" s="84"/>
      <c r="B7" s="85" t="s">
        <v>776</v>
      </c>
      <c r="C7" s="197">
        <f>YEAR(C4)</f>
        <v>2026</v>
      </c>
      <c r="D7" s="95"/>
      <c r="E7" s="96"/>
      <c r="F7" s="97"/>
      <c r="G7" s="97"/>
      <c r="H7" s="96"/>
      <c r="I7" s="96"/>
      <c r="J7" s="96"/>
      <c r="K7" s="98"/>
      <c r="L7" s="18"/>
      <c r="M7" s="18"/>
      <c r="N7" s="18"/>
      <c r="O7" s="18"/>
      <c r="P7" s="18"/>
      <c r="Q7" s="18"/>
      <c r="R7" s="3"/>
    </row>
    <row r="8" spans="1:18" ht="20.2" hidden="1" customHeight="1">
      <c r="A8" s="84"/>
      <c r="B8" s="85" t="s">
        <v>779</v>
      </c>
      <c r="C8" s="197" t="str">
        <f>_xlfn.CONCAT("01-Jan-",C7)</f>
        <v>01-Jan-2026</v>
      </c>
      <c r="D8" s="95"/>
      <c r="E8" s="96"/>
      <c r="F8" s="97"/>
      <c r="G8" s="97"/>
      <c r="H8" s="96"/>
      <c r="I8" s="96"/>
      <c r="J8" s="96"/>
      <c r="K8" s="98"/>
      <c r="L8" s="18"/>
      <c r="M8" s="18"/>
      <c r="N8" s="18"/>
      <c r="O8" s="18"/>
      <c r="P8" s="18"/>
      <c r="Q8" s="18"/>
      <c r="R8" s="3"/>
    </row>
    <row r="9" spans="1:18" ht="20.2" hidden="1" customHeight="1">
      <c r="A9" s="84"/>
      <c r="B9" s="85" t="s">
        <v>777</v>
      </c>
      <c r="C9" s="197">
        <f>C4-C8+1</f>
        <v>90</v>
      </c>
      <c r="D9" s="95"/>
      <c r="E9" s="96"/>
      <c r="F9" s="97"/>
      <c r="G9" s="97"/>
      <c r="H9" s="96"/>
      <c r="I9" s="96"/>
      <c r="J9" s="96"/>
      <c r="K9" s="98"/>
      <c r="L9" s="18"/>
      <c r="M9" s="18"/>
      <c r="N9" s="18"/>
      <c r="O9" s="18"/>
      <c r="P9" s="18"/>
      <c r="Q9" s="18"/>
      <c r="R9" s="3"/>
    </row>
    <row r="10" spans="1:18" ht="20.2" hidden="1" customHeight="1">
      <c r="A10" s="84"/>
      <c r="B10" s="85" t="s">
        <v>778</v>
      </c>
      <c r="C10" s="197">
        <f>C5-C8+1</f>
        <v>92</v>
      </c>
      <c r="D10" s="95"/>
      <c r="E10" s="96"/>
      <c r="F10" s="97"/>
      <c r="G10" s="97"/>
      <c r="H10" s="96"/>
      <c r="I10" s="96"/>
      <c r="J10" s="96"/>
      <c r="K10" s="98"/>
      <c r="L10" s="18"/>
      <c r="M10" s="18"/>
      <c r="N10" s="18"/>
      <c r="O10" s="18"/>
      <c r="P10" s="18"/>
      <c r="Q10" s="18"/>
      <c r="R10" s="3"/>
    </row>
    <row r="11" spans="1:18" ht="20.2" hidden="1" customHeight="1">
      <c r="A11" s="84"/>
      <c r="B11" s="85" t="s">
        <v>71</v>
      </c>
      <c r="C11" s="195">
        <f>VLOOKUP($C$6,VLookups!$A$37:$E$39,2,FALSE)</f>
        <v>74</v>
      </c>
      <c r="D11" s="95" t="s">
        <v>69</v>
      </c>
      <c r="E11" s="96"/>
      <c r="F11" s="97"/>
      <c r="G11" s="97"/>
      <c r="H11" s="96"/>
      <c r="I11" s="96"/>
      <c r="J11" s="96"/>
      <c r="K11" s="98"/>
      <c r="L11" s="18"/>
      <c r="M11" s="18"/>
      <c r="N11" s="18"/>
      <c r="O11" s="18"/>
      <c r="P11" s="18"/>
      <c r="Q11" s="18"/>
      <c r="R11" s="3"/>
    </row>
    <row r="12" spans="1:18" ht="20.2" hidden="1" customHeight="1">
      <c r="A12" s="115"/>
      <c r="B12" s="206" t="s">
        <v>627</v>
      </c>
      <c r="C12" s="195">
        <f>VLOOKUP($C$6,VLookups!$A$37:$E$39,4,FALSE)</f>
        <v>93.142857142857139</v>
      </c>
      <c r="D12" s="95" t="s">
        <v>628</v>
      </c>
      <c r="E12" s="96"/>
      <c r="F12" s="97"/>
      <c r="G12" s="97"/>
      <c r="H12" s="96"/>
      <c r="I12" s="96"/>
      <c r="J12" s="96"/>
      <c r="K12" s="98"/>
      <c r="L12" s="18"/>
      <c r="M12" s="18"/>
      <c r="N12" s="18"/>
      <c r="O12" s="18"/>
      <c r="P12" s="18"/>
      <c r="Q12" s="18"/>
      <c r="R12" s="3"/>
    </row>
    <row r="13" spans="1:18" ht="20.2" hidden="1" customHeight="1">
      <c r="A13" s="84"/>
      <c r="B13" s="85" t="s">
        <v>72</v>
      </c>
      <c r="C13" s="195">
        <f>VLOOKUP($C$6,VLookups!$A$37:$E$39,3,FALSE)</f>
        <v>108</v>
      </c>
      <c r="D13" s="95" t="s">
        <v>70</v>
      </c>
      <c r="E13" s="96"/>
      <c r="F13" s="97"/>
      <c r="G13" s="97"/>
      <c r="H13" s="96"/>
      <c r="I13" s="96"/>
      <c r="J13" s="96"/>
      <c r="K13" s="98"/>
      <c r="L13" s="18"/>
      <c r="M13" s="18"/>
      <c r="N13" s="18"/>
      <c r="O13" s="18"/>
      <c r="P13" s="18"/>
      <c r="Q13" s="18"/>
      <c r="R13" s="3"/>
    </row>
    <row r="14" spans="1:18" ht="20.2" hidden="1" customHeight="1">
      <c r="A14" s="94"/>
      <c r="B14" s="207" t="s">
        <v>60</v>
      </c>
      <c r="C14" s="69">
        <f>IF(OR(ISBLANK(C12),ISBLANK(C13),ISBLANK(C11)),"",IF(AND(C11&gt;0,C12&gt;0,C13&gt;0),IF(C12&gt;C11,IF(C13&gt;C12,1,-1),-1)))</f>
        <v>1</v>
      </c>
      <c r="D14" s="95" t="s">
        <v>57</v>
      </c>
      <c r="E14" s="96"/>
      <c r="F14" s="97"/>
      <c r="G14" s="97"/>
      <c r="H14" s="96"/>
      <c r="I14" s="96"/>
      <c r="J14" s="96"/>
      <c r="K14" s="98"/>
      <c r="L14" s="18"/>
      <c r="M14" s="18"/>
      <c r="N14" s="18"/>
      <c r="O14" s="18"/>
      <c r="P14" s="18"/>
      <c r="Q14" s="18"/>
      <c r="R14" s="3"/>
    </row>
    <row r="15" spans="1:18" ht="20.2" hidden="1" customHeight="1">
      <c r="A15" s="94"/>
      <c r="B15" s="207" t="s">
        <v>61</v>
      </c>
      <c r="C15" s="69">
        <f>IF(OR(ISBLANK(C11),ISBLANK(C12),ISBLANK(C13)),"",IFERROR(MIN(C12-C11,C13-C12)/MAX(C12-C11,C13-C12),""))</f>
        <v>0.77611940298507498</v>
      </c>
      <c r="D15" s="95" t="s">
        <v>58</v>
      </c>
      <c r="E15" s="96"/>
      <c r="F15" s="97"/>
      <c r="G15" s="97"/>
      <c r="H15" s="96"/>
      <c r="I15" s="96"/>
      <c r="J15" s="96"/>
      <c r="K15" s="98"/>
      <c r="L15" s="18"/>
      <c r="M15" s="18"/>
      <c r="N15" s="18"/>
      <c r="O15" s="18"/>
      <c r="P15" s="18"/>
      <c r="Q15" s="18"/>
      <c r="R15" s="3"/>
    </row>
    <row r="16" spans="1:18" ht="20.2" hidden="1" customHeight="1">
      <c r="A16" s="84"/>
      <c r="B16" s="208"/>
      <c r="C16" s="82">
        <f>IF(AND(C11&gt;0,C12&gt;0,C13&gt;0),(C11+(4*C12)+C13)/6,"")</f>
        <v>92.428571428571431</v>
      </c>
      <c r="D16" s="95"/>
      <c r="E16" s="96"/>
      <c r="F16" s="97"/>
      <c r="G16" s="97"/>
      <c r="H16" s="96"/>
      <c r="I16" s="96"/>
      <c r="J16" s="96"/>
      <c r="K16" s="98"/>
      <c r="L16" s="18"/>
      <c r="M16" s="18"/>
      <c r="N16" s="18"/>
      <c r="O16" s="18"/>
      <c r="P16" s="18"/>
      <c r="Q16" s="18"/>
      <c r="R16" s="3"/>
    </row>
    <row r="17" spans="1:18" ht="20.2" hidden="1" customHeight="1">
      <c r="A17" s="84"/>
      <c r="B17" s="85" t="s">
        <v>66</v>
      </c>
      <c r="C17" s="70" t="s">
        <v>3</v>
      </c>
      <c r="D17" s="95" t="s">
        <v>780</v>
      </c>
      <c r="E17" s="96"/>
      <c r="F17" s="97"/>
      <c r="G17" s="97"/>
      <c r="H17" s="96"/>
      <c r="I17" s="96"/>
      <c r="J17" s="96"/>
      <c r="K17" s="98"/>
      <c r="L17" s="18"/>
      <c r="M17" s="18"/>
      <c r="N17" s="18"/>
      <c r="O17" s="18"/>
      <c r="P17" s="18"/>
      <c r="Q17" s="18"/>
      <c r="R17" s="3"/>
    </row>
    <row r="18" spans="1:18" ht="20.2" hidden="1" customHeight="1">
      <c r="A18" s="94"/>
      <c r="B18" s="207" t="s">
        <v>67</v>
      </c>
      <c r="C18" s="39"/>
      <c r="D18" s="95" t="s">
        <v>59</v>
      </c>
      <c r="E18" s="96"/>
      <c r="F18" s="97"/>
      <c r="G18" s="97"/>
      <c r="H18" s="96"/>
      <c r="I18" s="96"/>
      <c r="J18" s="96"/>
      <c r="K18" s="98"/>
      <c r="L18" s="18"/>
      <c r="M18" s="18"/>
      <c r="N18" s="18"/>
      <c r="O18" s="18"/>
      <c r="P18" s="18"/>
      <c r="Q18" s="18"/>
      <c r="R18" s="3"/>
    </row>
    <row r="19" spans="1:18" ht="20.2" hidden="1" customHeight="1">
      <c r="A19" s="84"/>
      <c r="B19" s="208"/>
      <c r="C19" s="180">
        <f>IF(AND(C11&gt;0,C12&gt;0,C13&gt;0,NOT(ISBLANK(C17))),VLOOKUP(C6,VLookups!$A$37:$E$39,5,FALSE),"")</f>
        <v>7.5787027052047362</v>
      </c>
      <c r="D19" s="96"/>
      <c r="E19" s="96"/>
      <c r="F19" s="97"/>
      <c r="G19" s="97"/>
      <c r="H19" s="96"/>
      <c r="I19" s="96"/>
      <c r="J19" s="96"/>
      <c r="K19" s="98"/>
      <c r="L19" s="18"/>
      <c r="M19" s="18"/>
      <c r="N19" s="18"/>
      <c r="O19" s="18"/>
      <c r="P19" s="18"/>
      <c r="Q19" s="18"/>
      <c r="R19" s="3"/>
    </row>
    <row r="20" spans="1:18" ht="20.2" hidden="1" customHeight="1">
      <c r="A20" s="84"/>
      <c r="B20" s="85" t="s">
        <v>62</v>
      </c>
      <c r="C20" s="141">
        <v>75</v>
      </c>
      <c r="D20" s="95" t="s">
        <v>92</v>
      </c>
      <c r="E20" s="96"/>
      <c r="F20" s="97"/>
      <c r="G20" s="97"/>
      <c r="H20" s="96"/>
      <c r="I20" s="96"/>
      <c r="J20" s="96"/>
      <c r="K20" s="98"/>
      <c r="L20" s="18"/>
      <c r="M20" s="18"/>
      <c r="N20" s="18"/>
      <c r="O20" s="18"/>
      <c r="P20" s="18"/>
      <c r="Q20" s="18"/>
      <c r="R20" s="3"/>
    </row>
    <row r="21" spans="1:18" ht="20.2" hidden="1" customHeight="1">
      <c r="A21" s="84"/>
      <c r="B21" s="85" t="s">
        <v>63</v>
      </c>
      <c r="C21" s="81" t="s">
        <v>35</v>
      </c>
      <c r="D21" s="95" t="s">
        <v>68</v>
      </c>
      <c r="E21" s="96"/>
      <c r="F21" s="97"/>
      <c r="G21" s="97"/>
      <c r="H21" s="96"/>
      <c r="I21" s="96"/>
      <c r="J21" s="96"/>
      <c r="K21" s="98"/>
      <c r="L21" s="18"/>
      <c r="M21" s="18"/>
      <c r="N21" s="18"/>
      <c r="O21" s="18"/>
      <c r="P21" s="18"/>
      <c r="Q21" s="18"/>
      <c r="R21" s="3"/>
    </row>
    <row r="22" spans="1:18" ht="20.2" hidden="1" customHeight="1">
      <c r="A22" s="86"/>
      <c r="B22" s="209" t="str">
        <f>(IF(AND($C$11&gt;0,$C$12&gt;0,$C$13&gt;0,$C$20&gt;0,NOT(ISBLANK($C$17))),IF(VLOOKUP($C$21,VLookups!A17:C18,2,FALSE),CONCATENATE("Your planning estimate of ",$C$20," is greater than ",TEXT(1-$C$22,"0%")," of all possible outcomes →"),CONCATENATE("Your planning estimate of ",$C$20," is greater than ",TEXT($C$22,"0%")," of all possible outcomes →")),""))</f>
        <v>Your planning estimate of 75 is greater than 1% of all possible outcomes →</v>
      </c>
      <c r="C22" s="142">
        <f>IF(AND($C$11&gt;0,$C$12&gt;0,$C$13&gt;0,$C$19&gt;0,$C$20&gt;0,NOT(ISBLANK($C$17))),ABS(VLOOKUP($C$21,VLookups!$A$17:$B$18,2,FALSE)-_xlfn.NORM.DIST($C$20,$C$16,$C$19,TRUE)),"")</f>
        <v>1.0733251355514298E-2</v>
      </c>
      <c r="D22" s="210" t="str">
        <f>IF(AND($C$11&gt;0,$C$12&gt;0,$C$13&gt;0,$C$20&gt;0,NOT(ISBLANK($C17))),IF(VLOOKUP($C$21,VLookups!A17:C18,2,FALSE),CONCATENATE(TEXT($C$22,"0%")," of all possible outcomes exceed your planning estimate of ",$C$20),CONCATENATE(TEXT(1-$C$22,"0%")," of all possible outcomes exceed your planning estimate of ",$C$20)),"")</f>
        <v>99% of all possible outcomes exceed your planning estimate of 75</v>
      </c>
      <c r="E22" s="211"/>
      <c r="F22" s="212"/>
      <c r="G22" s="212"/>
      <c r="H22" s="211"/>
      <c r="I22" s="211"/>
      <c r="J22" s="211"/>
      <c r="K22" s="87"/>
      <c r="L22" s="18"/>
      <c r="M22" s="18"/>
      <c r="N22" s="18"/>
      <c r="O22" s="18"/>
      <c r="P22" s="18"/>
      <c r="Q22" s="18"/>
      <c r="R22" s="3"/>
    </row>
    <row r="23" spans="1:18" ht="20.2" customHeight="1" thickBot="1">
      <c r="A23" s="91"/>
      <c r="B23" s="92" t="str">
        <f>_xlfn.CONCAT("There is a ",TEXT($C$23,"0%")," chance that the peak bloom will occur during your trip →")</f>
        <v>There is a 10% chance that the peak bloom will occur during your trip →</v>
      </c>
      <c r="C23" s="213">
        <f>IF(AND($C$11&gt;0,$C$12&gt;0,$C$13&gt;0,$C$19&gt;0,$C$20&gt;0,NOT(ISBLANK($C$17))),_xlfn.NORM.DIST($C$10,$C$16,$C$19,TRUE)-_xlfn.NORM.DIST($C$9,$C$16,$C$19,TRUE),"")</f>
        <v>0.10313724709885652</v>
      </c>
      <c r="D23" s="93" t="str">
        <f>_xlfn.CONCAT("There is a ",TEXT(1-$C$23,"0%"), " chance the peak bloom will occur before or after your trip")</f>
        <v>There is a 90% chance the peak bloom will occur before or after your trip</v>
      </c>
      <c r="E23" s="88"/>
      <c r="F23" s="89"/>
      <c r="G23" s="89"/>
      <c r="H23" s="88"/>
      <c r="I23" s="88"/>
      <c r="J23" s="88"/>
      <c r="K23" s="90"/>
      <c r="L23" s="18"/>
      <c r="M23" s="18"/>
      <c r="N23" s="18"/>
      <c r="O23" s="18"/>
      <c r="P23" s="18"/>
      <c r="Q23" s="18"/>
      <c r="R23" s="3"/>
    </row>
    <row r="24" spans="1:18" ht="20.2" hidden="1" customHeight="1">
      <c r="A24" s="84"/>
      <c r="B24" s="85" t="s">
        <v>64</v>
      </c>
      <c r="C24" s="205">
        <v>0.5</v>
      </c>
      <c r="D24" s="95" t="s">
        <v>65</v>
      </c>
      <c r="E24" s="96"/>
      <c r="F24" s="97"/>
      <c r="G24" s="97"/>
      <c r="H24" s="96"/>
      <c r="I24" s="96"/>
      <c r="J24" s="96"/>
      <c r="K24" s="98"/>
      <c r="L24" s="18"/>
      <c r="M24" s="18"/>
      <c r="N24" s="18"/>
      <c r="O24" s="18"/>
      <c r="P24" s="18"/>
      <c r="Q24" s="18"/>
      <c r="R24" s="3"/>
    </row>
    <row r="25" spans="1:18" ht="20.2" hidden="1" customHeight="1" thickBot="1">
      <c r="A25" s="91"/>
      <c r="B25" s="92" t="str">
        <f>IF(AND($C$11&gt;0,$C$12&gt;0,$C$13&gt;0,NOT(ISBLANK($C17)),C24&gt;0),IF(VLOOKUP($C$21,VLookups!A17:C18,2,FALSE),CONCATENATE("The SPERT estimate of ",TEXT($C$25,"0")," is greater than ",TEXT(1-$C$24,"0%")," of all possible outcomes →"),CONCATENATE("The SPERT estimate of ",TEXT($C$25,"0")," is greater than ",TEXT($C$24,"0%")," of all possible outcomes →")),"")</f>
        <v>The SPERT estimate of 92 is greater than 50% of all possible outcomes →</v>
      </c>
      <c r="C25" s="143">
        <f>IF(AND($C11&gt;0,$C12&gt;0,$C13&gt;0,$C24&gt;0,NOT(ISBLANK($C17))),_xlfn.NORM.INV(ABS(VLOOKUP($C$21,VLookups!$A$17:$B$18,2,FALSE)-C$24),$C16,$C19),"")</f>
        <v>92.428571428571431</v>
      </c>
      <c r="D25" s="93" t="str">
        <f>IF(AND($C$11&gt;0,$C$12&gt;0,$C$13&gt;0,NOT(ISBLANK($C$17)),$C24&gt;0),IF(VLOOKUP($C$21,VLookups!A17:C18,2,FALSE),CONCATENATE(TEXT($C$24,"0%")," of all possible outcomes exceed the SPERT estimate of ",TEXT($C$25,"0")),CONCATENATE(TEXT(1-$C$24,"0%")," of all possible outcomes exceed the SPERT estimate of ",TEXT($C$25,"0"))),"")</f>
        <v>50% of all possible outcomes exceed the SPERT estimate of 92</v>
      </c>
      <c r="E25" s="88"/>
      <c r="F25" s="89"/>
      <c r="G25" s="89"/>
      <c r="H25" s="88"/>
      <c r="I25" s="88"/>
      <c r="J25" s="88"/>
      <c r="K25" s="90"/>
      <c r="L25" s="18"/>
      <c r="M25" s="18"/>
      <c r="N25" s="18"/>
      <c r="O25" s="18"/>
      <c r="P25" s="18"/>
      <c r="Q25" s="18"/>
      <c r="R25" s="3"/>
    </row>
    <row r="26" spans="1:18" ht="15" customHeight="1">
      <c r="A26" s="36"/>
      <c r="B26" s="36"/>
      <c r="C26" s="145" t="s">
        <v>631</v>
      </c>
      <c r="D26" s="3"/>
      <c r="E26" s="3"/>
      <c r="F26" s="2"/>
      <c r="G26" s="2"/>
      <c r="H26" s="3"/>
      <c r="I26" s="3"/>
      <c r="J26" s="3"/>
      <c r="K26" s="3"/>
      <c r="L26" s="18"/>
      <c r="M26" s="18"/>
      <c r="N26" s="18"/>
      <c r="O26" s="18"/>
      <c r="P26" s="18"/>
      <c r="Q26" s="18"/>
      <c r="R26" s="3"/>
    </row>
    <row r="27" spans="1:18" ht="15" customHeight="1">
      <c r="A27" s="36"/>
      <c r="B27" s="36"/>
      <c r="C27" s="145"/>
      <c r="D27" s="3"/>
      <c r="E27" s="3"/>
      <c r="F27" s="2"/>
      <c r="G27" s="2"/>
      <c r="H27" s="3"/>
      <c r="I27" s="3"/>
      <c r="J27" s="3"/>
      <c r="K27" s="3"/>
      <c r="L27" s="18"/>
      <c r="M27" s="18"/>
      <c r="N27" s="18"/>
      <c r="O27" s="18"/>
      <c r="P27" s="18"/>
      <c r="Q27" s="18"/>
      <c r="R27" s="3"/>
    </row>
    <row r="28" spans="1:18">
      <c r="A28" s="2"/>
      <c r="B28" s="3"/>
      <c r="C28" s="3"/>
      <c r="D28" s="3"/>
      <c r="E28" s="3"/>
      <c r="F28" s="2"/>
      <c r="G28" s="2"/>
      <c r="H28" s="3"/>
      <c r="I28" s="3"/>
      <c r="J28" s="3"/>
      <c r="K28" s="3"/>
      <c r="L28" s="3"/>
      <c r="M28" s="3"/>
      <c r="N28" s="3"/>
      <c r="O28" s="3"/>
      <c r="P28" s="3"/>
      <c r="Q28" s="3"/>
      <c r="R28" s="3"/>
    </row>
    <row r="29" spans="1:18">
      <c r="A29" s="2"/>
      <c r="B29" s="7" t="str">
        <f>CONCATENATE("Version ",'Change Log'!$B$3," – © 2022-",YEAR('Change Log'!$A$3),IF('Change Log'!$C$3="William W. Davis",", William W. Davis, MSPM, PMP",CONCATENATE(", original copyright holder is William W. Davis, MSPM, PMP; later modified by ",'Change Log'!$C$3)))</f>
        <v>Version 1.4 – © 2022-2025, William W. Davis, MSPM, PMP</v>
      </c>
      <c r="C29" s="83"/>
      <c r="D29" s="3"/>
      <c r="E29" s="2"/>
      <c r="F29" s="3"/>
      <c r="G29" s="3"/>
      <c r="H29" s="2"/>
      <c r="I29" s="3"/>
      <c r="J29" s="3"/>
      <c r="K29" s="3"/>
      <c r="L29" s="3"/>
      <c r="M29" s="3"/>
      <c r="N29" s="3"/>
      <c r="O29" s="3"/>
      <c r="P29" s="3"/>
      <c r="Q29" s="3"/>
      <c r="R29" s="3"/>
    </row>
    <row r="30" spans="1:18">
      <c r="A30" s="2"/>
      <c r="B30" s="68" t="s">
        <v>49</v>
      </c>
      <c r="C30" s="68"/>
      <c r="D30" s="68"/>
      <c r="E30" s="68"/>
      <c r="F30" s="68"/>
      <c r="G30" s="68"/>
      <c r="H30" s="2"/>
      <c r="I30" s="3"/>
      <c r="J30" s="3"/>
      <c r="K30" s="3"/>
      <c r="L30" s="3"/>
      <c r="M30" s="3"/>
      <c r="N30" s="3"/>
      <c r="O30" s="3"/>
      <c r="P30" s="3"/>
      <c r="Q30" s="3"/>
      <c r="R30" s="3"/>
    </row>
    <row r="31" spans="1:18">
      <c r="A31" s="2"/>
      <c r="B31" s="224" t="s">
        <v>827</v>
      </c>
      <c r="F31"/>
      <c r="G31" s="68"/>
      <c r="H31" s="2"/>
      <c r="I31" s="3"/>
      <c r="J31" s="3"/>
      <c r="K31" s="3"/>
      <c r="L31" s="3"/>
      <c r="M31" s="3"/>
      <c r="N31" s="3"/>
      <c r="O31" s="3"/>
      <c r="P31" s="3"/>
      <c r="Q31" s="3"/>
      <c r="R31" s="3"/>
    </row>
    <row r="32" spans="1:18">
      <c r="A32" s="2"/>
      <c r="B32" s="224" t="s">
        <v>47</v>
      </c>
      <c r="F32"/>
      <c r="G32" s="68"/>
      <c r="H32" s="2"/>
      <c r="I32" s="3"/>
      <c r="J32" s="3"/>
      <c r="K32" s="3"/>
      <c r="L32" s="3"/>
      <c r="M32" s="3"/>
      <c r="N32" s="3"/>
      <c r="O32" s="3"/>
      <c r="P32" s="3"/>
      <c r="Q32" s="3"/>
      <c r="R32" s="3"/>
    </row>
    <row r="33" spans="1:18">
      <c r="A33" s="2"/>
      <c r="B33" s="68" t="s">
        <v>91</v>
      </c>
      <c r="C33" s="68"/>
      <c r="D33" s="68"/>
      <c r="E33" s="68"/>
      <c r="F33" s="68"/>
      <c r="G33" s="68"/>
      <c r="H33" s="2"/>
      <c r="I33" s="3"/>
      <c r="J33" s="3"/>
      <c r="K33" s="3"/>
      <c r="L33" s="3"/>
      <c r="M33" s="3"/>
      <c r="N33" s="3"/>
      <c r="O33" s="3"/>
      <c r="P33" s="3"/>
      <c r="Q33" s="3"/>
      <c r="R33" s="3"/>
    </row>
    <row r="34" spans="1:18">
      <c r="A34" s="2"/>
      <c r="B34" s="226" t="s">
        <v>826</v>
      </c>
      <c r="C34" s="226"/>
      <c r="D34" s="68"/>
      <c r="E34" s="68"/>
      <c r="F34" s="68"/>
      <c r="G34" s="68"/>
      <c r="H34" s="2"/>
      <c r="I34" s="3"/>
      <c r="J34" s="3"/>
      <c r="K34" s="3"/>
      <c r="L34" s="3"/>
      <c r="M34" s="3"/>
      <c r="N34" s="3"/>
      <c r="O34" s="3"/>
      <c r="P34" s="3"/>
      <c r="Q34" s="3"/>
      <c r="R34" s="3"/>
    </row>
    <row r="35" spans="1:18">
      <c r="A35" s="2"/>
      <c r="B35" s="72" t="s">
        <v>86</v>
      </c>
      <c r="C35" s="3"/>
      <c r="D35" s="3"/>
      <c r="E35" s="2"/>
      <c r="F35" s="3"/>
      <c r="G35" s="3"/>
      <c r="H35" s="2"/>
      <c r="I35" s="3"/>
      <c r="J35" s="3"/>
      <c r="K35" s="3"/>
      <c r="L35" s="3"/>
      <c r="M35" s="3"/>
      <c r="N35" s="3"/>
      <c r="O35" s="3"/>
      <c r="P35" s="3"/>
      <c r="Q35" s="3"/>
      <c r="R35" s="3"/>
    </row>
    <row r="36" spans="1:18">
      <c r="A36" s="2"/>
      <c r="B36" s="72" t="s">
        <v>46</v>
      </c>
      <c r="C36" s="3"/>
      <c r="D36" s="3"/>
      <c r="E36" s="2"/>
      <c r="F36" s="3"/>
      <c r="G36" s="3"/>
      <c r="H36" s="2"/>
      <c r="I36" s="3"/>
      <c r="J36" s="3"/>
      <c r="K36" s="3"/>
      <c r="L36" s="3"/>
      <c r="M36" s="3"/>
      <c r="N36" s="3"/>
      <c r="O36" s="3"/>
      <c r="P36" s="3"/>
      <c r="Q36" s="3"/>
      <c r="R36" s="3"/>
    </row>
    <row r="37" spans="1:18">
      <c r="A37" s="7"/>
      <c r="B37" s="72" t="s">
        <v>85</v>
      </c>
      <c r="C37" s="3"/>
      <c r="D37" s="3"/>
      <c r="E37" s="3"/>
      <c r="F37" s="2"/>
      <c r="G37" s="2"/>
      <c r="H37" s="3"/>
      <c r="I37" s="3"/>
      <c r="J37" s="3"/>
      <c r="K37" s="3"/>
      <c r="L37" s="3"/>
      <c r="M37" s="3"/>
      <c r="N37" s="3"/>
      <c r="O37" s="3"/>
      <c r="P37" s="3"/>
      <c r="Q37" s="3"/>
      <c r="R37" s="3"/>
    </row>
    <row r="38" spans="1:18">
      <c r="A38" s="7"/>
      <c r="B38" s="72" t="s">
        <v>87</v>
      </c>
      <c r="C38" s="3"/>
      <c r="D38" s="3"/>
      <c r="E38" s="3"/>
      <c r="F38" s="2"/>
      <c r="G38" s="2"/>
      <c r="H38" s="3"/>
      <c r="I38" s="3"/>
      <c r="J38" s="3"/>
      <c r="K38" s="3"/>
      <c r="L38" s="3"/>
      <c r="M38" s="3"/>
      <c r="N38" s="3"/>
      <c r="O38" s="3"/>
      <c r="P38" s="3"/>
      <c r="Q38" s="3"/>
      <c r="R38" s="3"/>
    </row>
    <row r="39" spans="1:18">
      <c r="A39" s="7"/>
      <c r="B39" s="72" t="s">
        <v>608</v>
      </c>
      <c r="C39" s="3"/>
      <c r="D39" s="3"/>
      <c r="E39" s="3"/>
      <c r="F39" s="2"/>
      <c r="G39" s="2"/>
      <c r="H39" s="3"/>
      <c r="I39" s="3"/>
      <c r="J39" s="3"/>
      <c r="K39" s="3"/>
      <c r="L39" s="3"/>
      <c r="M39" s="3"/>
      <c r="N39" s="3"/>
      <c r="O39" s="3"/>
      <c r="P39" s="3"/>
      <c r="Q39" s="3"/>
      <c r="R39" s="3"/>
    </row>
    <row r="40" spans="1:18">
      <c r="A40" s="7"/>
      <c r="B40" s="72" t="s">
        <v>609</v>
      </c>
      <c r="C40" s="3"/>
      <c r="D40" s="3"/>
      <c r="E40" s="3"/>
      <c r="F40" s="2"/>
      <c r="G40" s="2"/>
      <c r="H40" s="3"/>
      <c r="I40" s="3"/>
      <c r="J40" s="3"/>
      <c r="K40" s="3"/>
      <c r="L40" s="3"/>
      <c r="M40" s="3"/>
      <c r="N40" s="3"/>
      <c r="O40" s="3"/>
      <c r="P40" s="3"/>
      <c r="Q40" s="3"/>
      <c r="R40" s="3"/>
    </row>
    <row r="41" spans="1:18">
      <c r="A41" s="7"/>
      <c r="B41" s="72"/>
      <c r="C41" s="3"/>
      <c r="D41" s="3"/>
      <c r="E41" s="3"/>
      <c r="F41" s="2"/>
      <c r="G41" s="2"/>
      <c r="H41" s="3"/>
      <c r="I41" s="3"/>
      <c r="J41" s="3"/>
      <c r="K41" s="3"/>
      <c r="L41" s="3"/>
      <c r="M41" s="3"/>
      <c r="N41" s="3"/>
      <c r="O41" s="3"/>
      <c r="P41" s="3"/>
      <c r="Q41" s="3"/>
      <c r="R41" s="3"/>
    </row>
    <row r="42" spans="1:18">
      <c r="A42" s="2"/>
      <c r="B42" s="72" t="s">
        <v>610</v>
      </c>
      <c r="C42" s="3"/>
      <c r="D42" s="3"/>
      <c r="E42" s="3"/>
      <c r="F42" s="2"/>
      <c r="G42" s="2"/>
      <c r="H42" s="3"/>
      <c r="I42" s="3"/>
      <c r="J42" s="3"/>
      <c r="K42" s="3"/>
      <c r="L42" s="3"/>
      <c r="M42" s="3"/>
      <c r="N42" s="3"/>
      <c r="O42" s="3"/>
      <c r="P42" s="3"/>
      <c r="Q42" s="3"/>
      <c r="R42" s="3"/>
    </row>
    <row r="43" spans="1:18">
      <c r="A43" s="2"/>
      <c r="B43" s="72" t="s">
        <v>45</v>
      </c>
      <c r="C43" s="3"/>
      <c r="D43" s="3"/>
      <c r="E43" s="3"/>
      <c r="F43" s="2"/>
      <c r="G43" s="2"/>
      <c r="H43" s="3"/>
      <c r="I43" s="3"/>
      <c r="J43" s="3"/>
      <c r="K43" s="3"/>
      <c r="L43" s="3"/>
      <c r="M43" s="3"/>
      <c r="N43" s="3"/>
      <c r="O43" s="3"/>
      <c r="P43" s="3"/>
      <c r="Q43" s="3"/>
      <c r="R43" s="3"/>
    </row>
    <row r="44" spans="1:18">
      <c r="A44" s="2"/>
      <c r="B44" s="118" t="s">
        <v>613</v>
      </c>
      <c r="C44" s="3"/>
      <c r="D44" s="3"/>
      <c r="E44" s="3"/>
      <c r="F44" s="2"/>
      <c r="G44" s="2"/>
      <c r="H44" s="3"/>
      <c r="I44" s="3"/>
      <c r="J44" s="3"/>
      <c r="K44" s="3"/>
      <c r="L44" s="3"/>
      <c r="M44" s="3"/>
      <c r="N44" s="3"/>
      <c r="O44" s="3"/>
      <c r="P44" s="3"/>
      <c r="Q44" s="3"/>
      <c r="R44" s="3"/>
    </row>
    <row r="45" spans="1:18">
      <c r="A45" s="2"/>
      <c r="B45" s="3"/>
      <c r="C45" s="3"/>
      <c r="D45" s="3"/>
      <c r="E45" s="3"/>
      <c r="F45" s="2"/>
      <c r="G45" s="2"/>
      <c r="H45" s="3"/>
      <c r="I45" s="3"/>
      <c r="J45" s="3"/>
      <c r="K45" s="3"/>
      <c r="L45" s="3"/>
      <c r="M45" s="3"/>
      <c r="N45" s="3"/>
      <c r="O45" s="3"/>
      <c r="P45" s="3"/>
      <c r="Q45" s="3"/>
      <c r="R45" s="3"/>
    </row>
    <row r="46" spans="1:18" ht="15" hidden="1" customHeight="1">
      <c r="B46" s="43" t="s">
        <v>11</v>
      </c>
      <c r="C46" s="34">
        <f>IF(AND(C11&gt;0,C12&gt;0,C13&gt;0),ABS(C11-C13)/60,"")</f>
        <v>0.56666666666666665</v>
      </c>
      <c r="D46" s="79" t="s">
        <v>54</v>
      </c>
    </row>
    <row r="47" spans="1:18" ht="15" hidden="1" customHeight="1">
      <c r="B47" s="3"/>
      <c r="C47" s="3"/>
    </row>
    <row r="48" spans="1:18" ht="15" hidden="1" customHeight="1">
      <c r="B48" s="33">
        <f t="shared" ref="B48:B67" si="0">IF(ISNONTEXT($C$46),B49-$C$46,"")</f>
        <v>62.666666666666721</v>
      </c>
      <c r="C48" s="32">
        <f t="shared" ref="C48:C79" si="1">IF(ISNONTEXT($C$19),_xlfn.NORM.DIST(B48,$C$16,$C$19,FALSE),NA())</f>
        <v>2.3579783300520945E-5</v>
      </c>
    </row>
    <row r="49" spans="1:7" ht="15" hidden="1" customHeight="1">
      <c r="B49" s="33">
        <f t="shared" si="0"/>
        <v>63.233333333333391</v>
      </c>
      <c r="C49" s="32">
        <f t="shared" si="1"/>
        <v>3.1538945803668954E-5</v>
      </c>
    </row>
    <row r="50" spans="1:7" ht="15" hidden="1" customHeight="1">
      <c r="B50" s="33">
        <f t="shared" si="0"/>
        <v>63.800000000000061</v>
      </c>
      <c r="C50" s="32">
        <f t="shared" si="1"/>
        <v>4.1949474932565749E-5</v>
      </c>
    </row>
    <row r="51" spans="1:7" ht="15" hidden="1" customHeight="1">
      <c r="B51" s="33">
        <f t="shared" si="0"/>
        <v>64.366666666666731</v>
      </c>
      <c r="C51" s="32">
        <f t="shared" si="1"/>
        <v>5.5485292380249164E-5</v>
      </c>
    </row>
    <row r="52" spans="1:7" ht="15" hidden="1" customHeight="1">
      <c r="B52" s="33">
        <f t="shared" si="0"/>
        <v>64.933333333333394</v>
      </c>
      <c r="C52" s="32">
        <f t="shared" si="1"/>
        <v>7.2979556815796196E-5</v>
      </c>
    </row>
    <row r="53" spans="1:7" ht="15" hidden="1" customHeight="1">
      <c r="B53" s="33">
        <f t="shared" si="0"/>
        <v>65.500000000000057</v>
      </c>
      <c r="C53" s="32">
        <f t="shared" si="1"/>
        <v>9.5454533091088035E-5</v>
      </c>
    </row>
    <row r="54" spans="1:7" ht="15" hidden="1" customHeight="1">
      <c r="B54" s="33">
        <f t="shared" si="0"/>
        <v>66.06666666666672</v>
      </c>
      <c r="C54" s="32">
        <f t="shared" si="1"/>
        <v>1.2415490639149435E-4</v>
      </c>
    </row>
    <row r="55" spans="1:7" ht="15" hidden="1" customHeight="1">
      <c r="B55" s="33">
        <f t="shared" si="0"/>
        <v>66.633333333333383</v>
      </c>
      <c r="C55" s="32">
        <f t="shared" si="1"/>
        <v>1.6058434666722527E-4</v>
      </c>
    </row>
    <row r="56" spans="1:7" ht="15" hidden="1" customHeight="1">
      <c r="A56"/>
      <c r="B56" s="33">
        <f t="shared" si="0"/>
        <v>67.200000000000045</v>
      </c>
      <c r="C56" s="32">
        <f t="shared" si="1"/>
        <v>2.0654492320344814E-4</v>
      </c>
      <c r="F56"/>
      <c r="G56"/>
    </row>
    <row r="57" spans="1:7" ht="15" hidden="1" customHeight="1">
      <c r="A57"/>
      <c r="B57" s="33">
        <f t="shared" si="0"/>
        <v>67.766666666666708</v>
      </c>
      <c r="C57" s="32">
        <f t="shared" si="1"/>
        <v>2.641787210539699E-4</v>
      </c>
      <c r="F57"/>
      <c r="G57"/>
    </row>
    <row r="58" spans="1:7" ht="15" hidden="1" customHeight="1">
      <c r="A58"/>
      <c r="B58" s="33">
        <f t="shared" si="0"/>
        <v>68.333333333333371</v>
      </c>
      <c r="C58" s="32">
        <f t="shared" si="1"/>
        <v>3.3601072152380363E-4</v>
      </c>
      <c r="F58"/>
      <c r="G58"/>
    </row>
    <row r="59" spans="1:7" ht="15" hidden="1" customHeight="1">
      <c r="A59"/>
      <c r="B59" s="33">
        <f t="shared" si="0"/>
        <v>68.900000000000034</v>
      </c>
      <c r="C59" s="32">
        <f t="shared" si="1"/>
        <v>4.2499168218244557E-4</v>
      </c>
      <c r="F59"/>
      <c r="G59"/>
    </row>
    <row r="60" spans="1:7" ht="15" hidden="1" customHeight="1">
      <c r="A60"/>
      <c r="B60" s="33">
        <f t="shared" si="0"/>
        <v>69.466666666666697</v>
      </c>
      <c r="C60" s="32">
        <f t="shared" si="1"/>
        <v>5.3453939584753921E-4</v>
      </c>
      <c r="F60"/>
      <c r="G60"/>
    </row>
    <row r="61" spans="1:7" ht="15" hidden="1" customHeight="1">
      <c r="A61"/>
      <c r="B61" s="33">
        <f t="shared" si="0"/>
        <v>70.03333333333336</v>
      </c>
      <c r="C61" s="32">
        <f t="shared" si="1"/>
        <v>6.6857633449709955E-4</v>
      </c>
      <c r="F61"/>
      <c r="G61"/>
    </row>
    <row r="62" spans="1:7" ht="15" hidden="1" customHeight="1">
      <c r="A62"/>
      <c r="B62" s="33">
        <f t="shared" si="0"/>
        <v>70.600000000000023</v>
      </c>
      <c r="C62" s="32">
        <f t="shared" si="1"/>
        <v>8.3156130944378372E-4</v>
      </c>
      <c r="F62"/>
      <c r="G62"/>
    </row>
    <row r="63" spans="1:7" ht="15" hidden="1" customHeight="1">
      <c r="A63"/>
      <c r="B63" s="33">
        <f t="shared" si="0"/>
        <v>71.166666666666686</v>
      </c>
      <c r="C63" s="32">
        <f t="shared" si="1"/>
        <v>1.0285124241125689E-3</v>
      </c>
      <c r="F63"/>
      <c r="G63"/>
    </row>
    <row r="64" spans="1:7" ht="15" hidden="1" customHeight="1">
      <c r="A64"/>
      <c r="B64" s="33">
        <f t="shared" si="0"/>
        <v>71.733333333333348</v>
      </c>
      <c r="C64" s="32">
        <f t="shared" si="1"/>
        <v>1.2650182854278538E-3</v>
      </c>
      <c r="F64"/>
      <c r="G64"/>
    </row>
    <row r="65" spans="2:3" customFormat="1" ht="15" hidden="1" customHeight="1">
      <c r="B65" s="33">
        <f t="shared" si="0"/>
        <v>72.300000000000011</v>
      </c>
      <c r="C65" s="32">
        <f t="shared" si="1"/>
        <v>1.5472342028010724E-3</v>
      </c>
    </row>
    <row r="66" spans="2:3" customFormat="1" ht="15" hidden="1" customHeight="1">
      <c r="B66" s="33">
        <f t="shared" si="0"/>
        <v>72.866666666666674</v>
      </c>
      <c r="C66" s="32">
        <f t="shared" si="1"/>
        <v>1.881859971282647E-3</v>
      </c>
    </row>
    <row r="67" spans="2:3" customFormat="1" ht="15" hidden="1" customHeight="1">
      <c r="B67" s="33">
        <f t="shared" si="0"/>
        <v>73.433333333333337</v>
      </c>
      <c r="C67" s="32">
        <f t="shared" si="1"/>
        <v>2.2760958399851371E-3</v>
      </c>
    </row>
    <row r="68" spans="2:3" customFormat="1" ht="15" hidden="1" customHeight="1">
      <c r="B68" s="44">
        <f>IF(ISNONTEXT($C$46),$C$11,"")</f>
        <v>74</v>
      </c>
      <c r="C68" s="32">
        <f t="shared" si="1"/>
        <v>2.7375734399655662E-3</v>
      </c>
    </row>
    <row r="69" spans="2:3" customFormat="1" ht="15" hidden="1" customHeight="1">
      <c r="B69" s="33">
        <f t="shared" ref="B69:B100" si="2">IF(ISNONTEXT($C$46),B68+$C$46,"")</f>
        <v>74.566666666666663</v>
      </c>
      <c r="C69" s="32">
        <f t="shared" si="1"/>
        <v>3.2742588158019394E-3</v>
      </c>
    </row>
    <row r="70" spans="2:3" customFormat="1" ht="15" hidden="1" customHeight="1">
      <c r="B70" s="33">
        <f t="shared" si="2"/>
        <v>75.133333333333326</v>
      </c>
      <c r="C70" s="32">
        <f t="shared" si="1"/>
        <v>3.8943252947741319E-3</v>
      </c>
    </row>
    <row r="71" spans="2:3" customFormat="1" ht="15" hidden="1" customHeight="1">
      <c r="B71" s="33">
        <f t="shared" si="2"/>
        <v>75.699999999999989</v>
      </c>
      <c r="C71" s="32">
        <f t="shared" si="1"/>
        <v>4.605994750976573E-3</v>
      </c>
    </row>
    <row r="72" spans="2:3" customFormat="1" ht="15" hidden="1" customHeight="1">
      <c r="B72" s="33">
        <f t="shared" si="2"/>
        <v>76.266666666666652</v>
      </c>
      <c r="C72" s="32">
        <f t="shared" si="1"/>
        <v>5.4173468816568551E-3</v>
      </c>
    </row>
    <row r="73" spans="2:3" customFormat="1" ht="15" hidden="1" customHeight="1">
      <c r="B73" s="33">
        <f t="shared" si="2"/>
        <v>76.833333333333314</v>
      </c>
      <c r="C73" s="32">
        <f t="shared" si="1"/>
        <v>6.3360973985888596E-3</v>
      </c>
    </row>
    <row r="74" spans="2:3" customFormat="1" ht="15" hidden="1" customHeight="1">
      <c r="B74" s="33">
        <f t="shared" si="2"/>
        <v>77.399999999999977</v>
      </c>
      <c r="C74" s="32">
        <f t="shared" si="1"/>
        <v>7.3693475215329488E-3</v>
      </c>
    </row>
    <row r="75" spans="2:3" customFormat="1" ht="15" hidden="1" customHeight="1">
      <c r="B75" s="33">
        <f t="shared" si="2"/>
        <v>77.96666666666664</v>
      </c>
      <c r="C75" s="32">
        <f t="shared" si="1"/>
        <v>8.5233087999302282E-3</v>
      </c>
    </row>
    <row r="76" spans="2:3" customFormat="1" ht="15" hidden="1" customHeight="1">
      <c r="B76" s="33">
        <f t="shared" si="2"/>
        <v>78.533333333333303</v>
      </c>
      <c r="C76" s="32">
        <f t="shared" si="1"/>
        <v>9.8030090217337568E-3</v>
      </c>
    </row>
    <row r="77" spans="2:3" customFormat="1" ht="15" hidden="1" customHeight="1">
      <c r="B77" s="33">
        <f t="shared" si="2"/>
        <v>79.099999999999966</v>
      </c>
      <c r="C77" s="32">
        <f t="shared" si="1"/>
        <v>1.1211986717155703E-2</v>
      </c>
    </row>
    <row r="78" spans="2:3" customFormat="1" ht="15" hidden="1" customHeight="1">
      <c r="B78" s="33">
        <f t="shared" si="2"/>
        <v>79.666666666666629</v>
      </c>
      <c r="C78" s="32">
        <f t="shared" si="1"/>
        <v>1.2751983438515399E-2</v>
      </c>
    </row>
    <row r="79" spans="2:3" customFormat="1" ht="15" hidden="1" customHeight="1">
      <c r="B79" s="33">
        <f t="shared" si="2"/>
        <v>80.233333333333292</v>
      </c>
      <c r="C79" s="32">
        <f t="shared" si="1"/>
        <v>1.4422644493364492E-2</v>
      </c>
    </row>
    <row r="80" spans="2:3" customFormat="1" ht="15" hidden="1" customHeight="1">
      <c r="B80" s="33">
        <f t="shared" si="2"/>
        <v>80.799999999999955</v>
      </c>
      <c r="C80" s="32">
        <f t="shared" ref="C80:C111" si="3">IF(ISNONTEXT($C$19),_xlfn.NORM.DIST(B80,$C$16,$C$19,FALSE),NA())</f>
        <v>1.622124001938452E-2</v>
      </c>
    </row>
    <row r="81" spans="2:3" customFormat="1" ht="15" hidden="1" customHeight="1">
      <c r="B81" s="33">
        <f t="shared" si="2"/>
        <v>81.366666666666617</v>
      </c>
      <c r="C81" s="32">
        <f t="shared" si="3"/>
        <v>1.8142419109827751E-2</v>
      </c>
    </row>
    <row r="82" spans="2:3" customFormat="1" ht="15" hidden="1" customHeight="1">
      <c r="B82" s="33">
        <f t="shared" si="2"/>
        <v>81.93333333333328</v>
      </c>
      <c r="C82" s="32">
        <f t="shared" si="3"/>
        <v>2.0178010029083419E-2</v>
      </c>
    </row>
    <row r="83" spans="2:3" customFormat="1" ht="15" hidden="1" customHeight="1">
      <c r="B83" s="33">
        <f t="shared" si="2"/>
        <v>82.499999999999943</v>
      </c>
      <c r="C83" s="32">
        <f t="shared" si="3"/>
        <v>2.2316879316338238E-2</v>
      </c>
    </row>
    <row r="84" spans="2:3" customFormat="1" ht="15" hidden="1" customHeight="1">
      <c r="B84" s="33">
        <f t="shared" si="2"/>
        <v>83.066666666666606</v>
      </c>
      <c r="C84" s="32">
        <f t="shared" si="3"/>
        <v>2.4544861701201407E-2</v>
      </c>
    </row>
    <row r="85" spans="2:3" customFormat="1" ht="15" hidden="1" customHeight="1">
      <c r="B85" s="33">
        <f t="shared" si="2"/>
        <v>83.633333333333269</v>
      </c>
      <c r="C85" s="32">
        <f t="shared" si="3"/>
        <v>2.6844771218214266E-2</v>
      </c>
    </row>
    <row r="86" spans="2:3" customFormat="1" ht="15" hidden="1" customHeight="1">
      <c r="B86" s="33">
        <f t="shared" si="2"/>
        <v>84.199999999999932</v>
      </c>
      <c r="C86" s="32">
        <f t="shared" si="3"/>
        <v>2.9196501712238792E-2</v>
      </c>
    </row>
    <row r="87" spans="2:3" customFormat="1" ht="15" hidden="1" customHeight="1">
      <c r="B87" s="33">
        <f t="shared" si="2"/>
        <v>84.766666666666595</v>
      </c>
      <c r="C87" s="32">
        <f t="shared" si="3"/>
        <v>3.1577222117663756E-2</v>
      </c>
    </row>
    <row r="88" spans="2:3" customFormat="1" ht="15" hidden="1" customHeight="1">
      <c r="B88" s="33">
        <f t="shared" si="2"/>
        <v>85.333333333333258</v>
      </c>
      <c r="C88" s="32">
        <f t="shared" si="3"/>
        <v>3.3961668555416734E-2</v>
      </c>
    </row>
    <row r="89" spans="2:3" customFormat="1" ht="15" hidden="1" customHeight="1">
      <c r="B89" s="33">
        <f t="shared" si="2"/>
        <v>85.89999999999992</v>
      </c>
      <c r="C89" s="32">
        <f t="shared" si="3"/>
        <v>3.6322531546300878E-2</v>
      </c>
    </row>
    <row r="90" spans="2:3" customFormat="1" ht="15" hidden="1" customHeight="1">
      <c r="B90" s="33">
        <f t="shared" si="2"/>
        <v>86.466666666666583</v>
      </c>
      <c r="C90" s="32">
        <f t="shared" si="3"/>
        <v>3.8630932645605666E-2</v>
      </c>
    </row>
    <row r="91" spans="2:3" customFormat="1" ht="15" hidden="1" customHeight="1">
      <c r="B91" s="33">
        <f t="shared" si="2"/>
        <v>87.033333333333246</v>
      </c>
      <c r="C91" s="32">
        <f t="shared" si="3"/>
        <v>4.0856980748829305E-2</v>
      </c>
    </row>
    <row r="92" spans="2:3" customFormat="1" ht="15" hidden="1" customHeight="1">
      <c r="B92" s="33">
        <f t="shared" si="2"/>
        <v>87.599999999999909</v>
      </c>
      <c r="C92" s="32">
        <f t="shared" si="3"/>
        <v>4.2970394406935356E-2</v>
      </c>
    </row>
    <row r="93" spans="2:3" customFormat="1" ht="15" hidden="1" customHeight="1">
      <c r="B93" s="33">
        <f t="shared" si="2"/>
        <v>88.166666666666572</v>
      </c>
      <c r="C93" s="32">
        <f t="shared" si="3"/>
        <v>4.4941172934260837E-2</v>
      </c>
    </row>
    <row r="94" spans="2:3" customFormat="1" ht="15" hidden="1" customHeight="1">
      <c r="B94" s="33">
        <f t="shared" si="2"/>
        <v>88.733333333333235</v>
      </c>
      <c r="C94" s="32">
        <f t="shared" si="3"/>
        <v>4.6740296099712274E-2</v>
      </c>
    </row>
    <row r="95" spans="2:3" customFormat="1" ht="15" hidden="1" customHeight="1">
      <c r="B95" s="33">
        <f t="shared" si="2"/>
        <v>89.299999999999898</v>
      </c>
      <c r="C95" s="32">
        <f t="shared" si="3"/>
        <v>4.8340429949887534E-2</v>
      </c>
    </row>
    <row r="96" spans="2:3" customFormat="1" ht="15" hidden="1" customHeight="1">
      <c r="B96" s="33">
        <f t="shared" si="2"/>
        <v>89.866666666666561</v>
      </c>
      <c r="C96" s="32">
        <f t="shared" si="3"/>
        <v>4.9716614976930466E-2</v>
      </c>
    </row>
    <row r="97" spans="2:3" customFormat="1" ht="15" hidden="1" customHeight="1">
      <c r="B97" s="33">
        <f t="shared" si="2"/>
        <v>90.433333333333223</v>
      </c>
      <c r="C97" s="32">
        <f t="shared" si="3"/>
        <v>5.0846912526515638E-2</v>
      </c>
    </row>
    <row r="98" spans="2:3" customFormat="1" ht="15" hidden="1" customHeight="1">
      <c r="B98" s="33">
        <f t="shared" si="2"/>
        <v>90.999999999999886</v>
      </c>
      <c r="C98" s="32">
        <f t="shared" si="3"/>
        <v>5.1712986102085974E-2</v>
      </c>
    </row>
    <row r="99" spans="2:3" customFormat="1" ht="15" hidden="1" customHeight="1">
      <c r="B99" s="33">
        <f t="shared" si="2"/>
        <v>91.566666666666549</v>
      </c>
      <c r="C99" s="32">
        <f t="shared" si="3"/>
        <v>5.2300596061550575E-2</v>
      </c>
    </row>
    <row r="100" spans="2:3" customFormat="1" ht="15" hidden="1" customHeight="1">
      <c r="B100" s="33">
        <f t="shared" si="2"/>
        <v>92.133333333333212</v>
      </c>
      <c r="C100" s="32">
        <f t="shared" si="3"/>
        <v>5.259998906258679E-2</v>
      </c>
    </row>
    <row r="101" spans="2:3" customFormat="1" ht="15" hidden="1" customHeight="1">
      <c r="B101" s="33">
        <f t="shared" ref="B101:B132" si="4">IF(ISNONTEXT($C$46),B100+$C$46,"")</f>
        <v>92.699999999999875</v>
      </c>
      <c r="C101" s="32">
        <f t="shared" si="3"/>
        <v>5.260616737402958E-2</v>
      </c>
    </row>
    <row r="102" spans="2:3" customFormat="1" ht="15" hidden="1" customHeight="1">
      <c r="B102" s="33">
        <f t="shared" si="4"/>
        <v>93.266666666666538</v>
      </c>
      <c r="C102" s="32">
        <f t="shared" si="3"/>
        <v>5.2319027661972252E-2</v>
      </c>
    </row>
    <row r="103" spans="2:3" customFormat="1" ht="15" hidden="1" customHeight="1">
      <c r="B103" s="33">
        <f t="shared" si="4"/>
        <v>93.833333333333201</v>
      </c>
      <c r="C103" s="32">
        <f t="shared" si="3"/>
        <v>5.1743363864892096E-2</v>
      </c>
    </row>
    <row r="104" spans="2:3" customFormat="1" ht="15" hidden="1" customHeight="1">
      <c r="B104" s="33">
        <f t="shared" si="4"/>
        <v>94.399999999999864</v>
      </c>
      <c r="C104" s="32">
        <f t="shared" si="3"/>
        <v>5.0888734046013663E-2</v>
      </c>
    </row>
    <row r="105" spans="2:3" customFormat="1" ht="15" hidden="1" customHeight="1">
      <c r="B105" s="33">
        <f t="shared" si="4"/>
        <v>94.966666666666526</v>
      </c>
      <c r="C105" s="32">
        <f t="shared" si="3"/>
        <v>4.9769196390599839E-2</v>
      </c>
    </row>
    <row r="106" spans="2:3" customFormat="1" ht="15" hidden="1" customHeight="1">
      <c r="B106" s="33">
        <f t="shared" si="4"/>
        <v>95.533333333333189</v>
      </c>
      <c r="C106" s="32">
        <f t="shared" si="3"/>
        <v>4.8402924537944057E-2</v>
      </c>
    </row>
    <row r="107" spans="2:3" customFormat="1" ht="15" hidden="1" customHeight="1">
      <c r="B107" s="33">
        <f t="shared" si="4"/>
        <v>96.099999999999852</v>
      </c>
      <c r="C107" s="32">
        <f t="shared" si="3"/>
        <v>4.6811716955193934E-2</v>
      </c>
    </row>
    <row r="108" spans="2:3" customFormat="1" ht="15" hidden="1" customHeight="1">
      <c r="B108" s="33">
        <f t="shared" si="4"/>
        <v>96.666666666666515</v>
      </c>
      <c r="C108" s="32">
        <f t="shared" si="3"/>
        <v>4.5020418855935586E-2</v>
      </c>
    </row>
    <row r="109" spans="2:3" customFormat="1" ht="15" hidden="1" customHeight="1">
      <c r="B109" s="33">
        <f t="shared" si="4"/>
        <v>97.233333333333178</v>
      </c>
      <c r="C109" s="32">
        <f t="shared" si="3"/>
        <v>4.305627806705966E-2</v>
      </c>
    </row>
    <row r="110" spans="2:3" customFormat="1" ht="15" hidden="1" customHeight="1">
      <c r="B110" s="33">
        <f t="shared" si="4"/>
        <v>97.799999999999841</v>
      </c>
      <c r="C110" s="32">
        <f t="shared" si="3"/>
        <v>4.0948258131986402E-2</v>
      </c>
    </row>
    <row r="111" spans="2:3" customFormat="1" ht="15" hidden="1" customHeight="1">
      <c r="B111" s="33">
        <f t="shared" si="4"/>
        <v>98.366666666666504</v>
      </c>
      <c r="C111" s="32">
        <f t="shared" si="3"/>
        <v>3.8726332744802416E-2</v>
      </c>
    </row>
    <row r="112" spans="2:3" customFormat="1" ht="15" hidden="1" customHeight="1">
      <c r="B112" s="33">
        <f t="shared" si="4"/>
        <v>98.933333333333167</v>
      </c>
      <c r="C112" s="32">
        <f t="shared" ref="C112:C143" si="5">IF(ISNONTEXT($C$19),_xlfn.NORM.DIST(B112,$C$16,$C$19,FALSE),NA())</f>
        <v>3.6420785336942645E-2</v>
      </c>
    </row>
    <row r="113" spans="2:3" customFormat="1" ht="15" hidden="1" customHeight="1">
      <c r="B113" s="33">
        <f t="shared" si="4"/>
        <v>99.499999999999829</v>
      </c>
      <c r="C113" s="32">
        <f t="shared" si="5"/>
        <v>3.4061536343092398E-2</v>
      </c>
    </row>
    <row r="114" spans="2:3" customFormat="1" ht="15" hidden="1" customHeight="1">
      <c r="B114" s="33">
        <f t="shared" si="4"/>
        <v>100.06666666666649</v>
      </c>
      <c r="C114" s="32">
        <f t="shared" si="5"/>
        <v>3.1677518466193523E-2</v>
      </c>
    </row>
    <row r="115" spans="2:3" customFormat="1" ht="15" hidden="1" customHeight="1">
      <c r="B115" s="33">
        <f t="shared" si="4"/>
        <v>100.63333333333316</v>
      </c>
      <c r="C115" s="32">
        <f t="shared" si="5"/>
        <v>2.9296117296894984E-2</v>
      </c>
    </row>
    <row r="116" spans="2:3" customFormat="1" ht="15" hidden="1" customHeight="1">
      <c r="B116" s="33">
        <f t="shared" si="4"/>
        <v>101.19999999999982</v>
      </c>
      <c r="C116" s="32">
        <f t="shared" si="5"/>
        <v>2.6942691107057732E-2</v>
      </c>
    </row>
    <row r="117" spans="2:3" customFormat="1" ht="15" hidden="1" customHeight="1">
      <c r="B117" s="33">
        <f t="shared" si="4"/>
        <v>101.76666666666648</v>
      </c>
      <c r="C117" s="32">
        <f t="shared" si="5"/>
        <v>2.464017973619119E-2</v>
      </c>
    </row>
    <row r="118" spans="2:3" customFormat="1" ht="15" hidden="1" customHeight="1">
      <c r="B118" s="33">
        <f t="shared" si="4"/>
        <v>102.33333333333314</v>
      </c>
      <c r="C118" s="32">
        <f t="shared" si="5"/>
        <v>2.240880843640175E-2</v>
      </c>
    </row>
    <row r="119" spans="2:3" customFormat="1" ht="15" hidden="1" customHeight="1">
      <c r="B119" s="33">
        <f t="shared" si="4"/>
        <v>102.89999999999981</v>
      </c>
      <c r="C119" s="32">
        <f t="shared" si="5"/>
        <v>2.0265888541358051E-2</v>
      </c>
    </row>
    <row r="120" spans="2:3" customFormat="1" ht="15" hidden="1" customHeight="1">
      <c r="B120" s="33">
        <f t="shared" si="4"/>
        <v>103.46666666666647</v>
      </c>
      <c r="C120" s="32">
        <f t="shared" si="5"/>
        <v>1.822571306547081E-2</v>
      </c>
    </row>
    <row r="121" spans="2:3" customFormat="1" ht="15" hidden="1" customHeight="1">
      <c r="B121" s="33">
        <f t="shared" si="4"/>
        <v>104.03333333333313</v>
      </c>
      <c r="C121" s="32">
        <f t="shared" si="5"/>
        <v>1.6299541980708581E-2</v>
      </c>
    </row>
    <row r="122" spans="2:3" customFormat="1" ht="15" hidden="1" customHeight="1">
      <c r="B122" s="33">
        <f t="shared" si="4"/>
        <v>104.5999999999998</v>
      </c>
      <c r="C122" s="32">
        <f t="shared" si="5"/>
        <v>1.4495669085173225E-2</v>
      </c>
    </row>
    <row r="123" spans="2:3" customFormat="1" ht="15" hidden="1" customHeight="1">
      <c r="B123" s="33">
        <f t="shared" si="4"/>
        <v>105.16666666666646</v>
      </c>
      <c r="C123" s="32">
        <f t="shared" si="5"/>
        <v>1.2819560155666061E-2</v>
      </c>
    </row>
    <row r="124" spans="2:3" customFormat="1" ht="15" hidden="1" customHeight="1">
      <c r="B124" s="33">
        <f t="shared" si="4"/>
        <v>105.73333333333312</v>
      </c>
      <c r="C124" s="32">
        <f t="shared" si="5"/>
        <v>1.1274050511518658E-2</v>
      </c>
    </row>
    <row r="125" spans="2:3" customFormat="1" ht="15" hidden="1" customHeight="1">
      <c r="B125" s="33">
        <f t="shared" si="4"/>
        <v>106.29999999999978</v>
      </c>
      <c r="C125" s="32">
        <f t="shared" si="5"/>
        <v>9.8595892153944421E-3</v>
      </c>
    </row>
    <row r="126" spans="2:3" customFormat="1" ht="15" hidden="1" customHeight="1">
      <c r="B126" s="33">
        <f t="shared" si="4"/>
        <v>106.86666666666645</v>
      </c>
      <c r="C126" s="32">
        <f t="shared" si="5"/>
        <v>8.5745168696018965E-3</v>
      </c>
    </row>
    <row r="127" spans="2:3" customFormat="1" ht="15" hidden="1" customHeight="1">
      <c r="B127" s="33">
        <f t="shared" si="4"/>
        <v>107.43333333333311</v>
      </c>
      <c r="C127" s="32">
        <f t="shared" si="5"/>
        <v>7.4153642747547318E-3</v>
      </c>
    </row>
    <row r="128" spans="2:3" customFormat="1" ht="15" hidden="1" customHeight="1">
      <c r="B128" s="33">
        <f t="shared" si="4"/>
        <v>107.99999999999977</v>
      </c>
      <c r="C128" s="32">
        <f t="shared" si="5"/>
        <v>6.3771600192227794E-3</v>
      </c>
    </row>
    <row r="129" spans="2:3" customFormat="1" ht="15" hidden="1" customHeight="1">
      <c r="B129" s="33">
        <f t="shared" si="4"/>
        <v>108.56666666666644</v>
      </c>
      <c r="C129" s="32">
        <f t="shared" si="5"/>
        <v>5.4537362648163354E-3</v>
      </c>
    </row>
    <row r="130" spans="2:3" customFormat="1" ht="15" hidden="1" customHeight="1">
      <c r="B130" s="33">
        <f t="shared" si="4"/>
        <v>109.1333333333331</v>
      </c>
      <c r="C130" s="32">
        <f t="shared" si="5"/>
        <v>4.6380234803521927E-3</v>
      </c>
    </row>
    <row r="131" spans="2:3" customFormat="1" ht="15" hidden="1" customHeight="1">
      <c r="B131" s="33">
        <f t="shared" si="4"/>
        <v>109.69999999999976</v>
      </c>
      <c r="C131" s="32">
        <f t="shared" si="5"/>
        <v>3.9223265428089092E-3</v>
      </c>
    </row>
    <row r="132" spans="2:3" customFormat="1" ht="15" hidden="1" customHeight="1">
      <c r="B132" s="33">
        <f t="shared" si="4"/>
        <v>110.26666666666642</v>
      </c>
      <c r="C132" s="32">
        <f t="shared" si="5"/>
        <v>3.2985763734142211E-3</v>
      </c>
    </row>
    <row r="133" spans="2:3" customFormat="1" ht="15" hidden="1" customHeight="1">
      <c r="B133" s="33">
        <f t="shared" ref="B133:B148" si="6">IF(ISNONTEXT($C$46),B132+$C$46,"")</f>
        <v>110.83333333333309</v>
      </c>
      <c r="C133" s="32">
        <f t="shared" si="5"/>
        <v>2.7585530111095377E-3</v>
      </c>
    </row>
    <row r="134" spans="2:3" customFormat="1" ht="15" hidden="1" customHeight="1">
      <c r="B134" s="33">
        <f t="shared" si="6"/>
        <v>111.39999999999975</v>
      </c>
      <c r="C134" s="32">
        <f t="shared" si="5"/>
        <v>2.2940776702167552E-3</v>
      </c>
    </row>
    <row r="135" spans="2:3" customFormat="1" ht="15" hidden="1" customHeight="1">
      <c r="B135" s="33">
        <f t="shared" si="6"/>
        <v>111.96666666666641</v>
      </c>
      <c r="C135" s="32">
        <f t="shared" si="5"/>
        <v>1.8971728208881076E-3</v>
      </c>
    </row>
    <row r="136" spans="2:3" customFormat="1" ht="15" hidden="1" customHeight="1">
      <c r="B136" s="33">
        <f t="shared" si="6"/>
        <v>112.53333333333308</v>
      </c>
      <c r="C136" s="32">
        <f t="shared" si="5"/>
        <v>1.5601906254399001E-3</v>
      </c>
    </row>
    <row r="137" spans="2:3" customFormat="1" ht="15" hidden="1" customHeight="1">
      <c r="B137" s="33">
        <f t="shared" si="6"/>
        <v>113.09999999999974</v>
      </c>
      <c r="C137" s="32">
        <f t="shared" si="5"/>
        <v>1.2759111334406171E-3</v>
      </c>
    </row>
    <row r="138" spans="2:3" customFormat="1" ht="15" hidden="1" customHeight="1">
      <c r="B138" s="33">
        <f t="shared" si="6"/>
        <v>113.6666666666664</v>
      </c>
      <c r="C138" s="32">
        <f t="shared" si="5"/>
        <v>1.0376124718121309E-3</v>
      </c>
    </row>
    <row r="139" spans="2:3" customFormat="1" ht="15" hidden="1" customHeight="1">
      <c r="B139" s="33">
        <f t="shared" si="6"/>
        <v>114.23333333333306</v>
      </c>
      <c r="C139" s="32">
        <f t="shared" si="5"/>
        <v>8.3911586548475697E-4</v>
      </c>
    </row>
    <row r="140" spans="2:3" customFormat="1" ht="15" hidden="1" customHeight="1">
      <c r="B140" s="33">
        <f t="shared" si="6"/>
        <v>114.79999999999973</v>
      </c>
      <c r="C140" s="32">
        <f t="shared" si="5"/>
        <v>6.7480870301601784E-4</v>
      </c>
    </row>
    <row r="141" spans="2:3" customFormat="1" ht="15" hidden="1" customHeight="1">
      <c r="B141" s="33">
        <f t="shared" si="6"/>
        <v>115.36666666666639</v>
      </c>
      <c r="C141" s="32">
        <f t="shared" si="5"/>
        <v>5.3964904239886644E-4</v>
      </c>
    </row>
    <row r="142" spans="2:3" customFormat="1" ht="15" hidden="1" customHeight="1">
      <c r="B142" s="33">
        <f t="shared" si="6"/>
        <v>115.93333333333305</v>
      </c>
      <c r="C142" s="32">
        <f t="shared" si="5"/>
        <v>4.2915496328773609E-4</v>
      </c>
    </row>
    <row r="143" spans="2:3" customFormat="1" ht="15" hidden="1" customHeight="1">
      <c r="B143" s="33">
        <f t="shared" si="6"/>
        <v>116.49999999999972</v>
      </c>
      <c r="C143" s="32">
        <f t="shared" si="5"/>
        <v>3.3938204454535395E-4</v>
      </c>
    </row>
    <row r="144" spans="2:3" customFormat="1" ht="15" hidden="1" customHeight="1">
      <c r="B144" s="33">
        <f t="shared" si="6"/>
        <v>117.06666666666638</v>
      </c>
      <c r="C144" s="32">
        <f t="shared" ref="C144:C148" si="7">IF(ISNONTEXT($C$19),_xlfn.NORM.DIST(B144,$C$16,$C$19,FALSE),NA())</f>
        <v>2.668920127499573E-4</v>
      </c>
    </row>
    <row r="145" spans="1:7" customFormat="1" ht="15" hidden="1" customHeight="1">
      <c r="B145" s="33">
        <f t="shared" si="6"/>
        <v>117.63333333333304</v>
      </c>
      <c r="C145" s="32">
        <f t="shared" si="7"/>
        <v>2.0871529944867251E-4</v>
      </c>
    </row>
    <row r="146" spans="1:7" customFormat="1" ht="15" hidden="1" customHeight="1">
      <c r="B146" s="33">
        <f t="shared" si="6"/>
        <v>118.1999999999997</v>
      </c>
      <c r="C146" s="32">
        <f t="shared" si="7"/>
        <v>1.6230989129528098E-4</v>
      </c>
    </row>
    <row r="147" spans="1:7" customFormat="1" ht="15" hidden="1" customHeight="1">
      <c r="B147" s="33">
        <f t="shared" si="6"/>
        <v>118.76666666666637</v>
      </c>
      <c r="C147" s="32">
        <f t="shared" si="7"/>
        <v>1.2551848296171988E-4</v>
      </c>
    </row>
    <row r="148" spans="1:7" customFormat="1" ht="15" hidden="1" customHeight="1">
      <c r="B148" s="33">
        <f t="shared" si="6"/>
        <v>119.33333333333303</v>
      </c>
      <c r="C148" s="32">
        <f t="shared" si="7"/>
        <v>9.6525568823727163E-5</v>
      </c>
    </row>
    <row r="149" spans="1:7" customFormat="1">
      <c r="B149" s="78" t="s">
        <v>611</v>
      </c>
    </row>
    <row r="150" spans="1:7" customFormat="1"/>
    <row r="151" spans="1:7" customFormat="1"/>
    <row r="152" spans="1:7">
      <c r="A152"/>
      <c r="C152" s="78"/>
      <c r="F152"/>
      <c r="G152"/>
    </row>
    <row r="153" spans="1:7">
      <c r="A153"/>
      <c r="C153" s="78"/>
      <c r="F153"/>
      <c r="G153"/>
    </row>
    <row r="154" spans="1:7">
      <c r="A154"/>
      <c r="C154" s="78"/>
      <c r="F154"/>
      <c r="G154"/>
    </row>
    <row r="155" spans="1:7">
      <c r="A155"/>
      <c r="C155" s="78"/>
      <c r="F155"/>
      <c r="G155"/>
    </row>
    <row r="156" spans="1:7" customFormat="1"/>
    <row r="157" spans="1:7" customFormat="1"/>
    <row r="158" spans="1:7" customFormat="1"/>
    <row r="159" spans="1:7" customFormat="1"/>
    <row r="160" spans="1:7" customFormat="1"/>
    <row r="161" customFormat="1"/>
    <row r="162" customFormat="1"/>
    <row r="163" customFormat="1"/>
    <row r="164" customFormat="1"/>
    <row r="165" customFormat="1"/>
    <row r="166" customFormat="1"/>
    <row r="167" customFormat="1"/>
    <row r="168" customFormat="1"/>
    <row r="169" customFormat="1"/>
    <row r="170" customFormat="1"/>
    <row r="171" customFormat="1"/>
    <row r="172" customFormat="1"/>
    <row r="173" customFormat="1"/>
    <row r="174" customFormat="1"/>
    <row r="175" customFormat="1"/>
    <row r="176" customFormat="1"/>
    <row r="177" customFormat="1"/>
    <row r="178" customFormat="1"/>
    <row r="179" customFormat="1"/>
    <row r="180" customFormat="1"/>
    <row r="181" customFormat="1"/>
    <row r="182" customFormat="1"/>
    <row r="183" customFormat="1"/>
    <row r="184" customFormat="1"/>
    <row r="185" customFormat="1"/>
    <row r="186" customFormat="1"/>
    <row r="187" customFormat="1"/>
    <row r="188" customFormat="1"/>
    <row r="189" customFormat="1"/>
    <row r="192" customFormat="1"/>
    <row r="193" customFormat="1"/>
    <row r="194" customFormat="1"/>
    <row r="195" customFormat="1"/>
    <row r="196" customFormat="1"/>
    <row r="197" customFormat="1"/>
    <row r="198" customFormat="1"/>
    <row r="199" customFormat="1"/>
    <row r="200" customFormat="1"/>
    <row r="201" customFormat="1"/>
    <row r="202" customFormat="1"/>
    <row r="203" customFormat="1"/>
    <row r="204" customFormat="1"/>
    <row r="205" customFormat="1"/>
    <row r="206" customFormat="1"/>
    <row r="207" customFormat="1"/>
  </sheetData>
  <mergeCells count="1">
    <mergeCell ref="B34:C34"/>
  </mergeCells>
  <conditionalFormatting sqref="C14">
    <cfRule type="iconSet" priority="4">
      <iconSet iconSet="3Symbols2" showValue="0">
        <cfvo type="percent" val="0"/>
        <cfvo type="percent" val="0.5"/>
        <cfvo type="num" val="1"/>
      </iconSet>
    </cfRule>
  </conditionalFormatting>
  <conditionalFormatting sqref="C15">
    <cfRule type="iconSet" priority="5">
      <iconSet showValue="0">
        <cfvo type="percent" val="0"/>
        <cfvo type="num" val="0.2"/>
        <cfvo type="num" val="0.3332"/>
      </iconSet>
    </cfRule>
  </conditionalFormatting>
  <dataValidations count="1">
    <dataValidation type="decimal" allowBlank="1" showInputMessage="1" showErrorMessage="1" sqref="C24" xr:uid="{126C3E48-AF68-4EED-B608-B4BDDA4FFC8C}">
      <formula1>0.0001</formula1>
      <formula2>0.9999</formula2>
    </dataValidation>
  </dataValidations>
  <hyperlinks>
    <hyperlink ref="B30" r:id="rId1" display="Download more FREE Statistical PERT templates at https://www.statisticalpert.com" xr:uid="{DDF23D16-15B2-4083-8572-42B3F47F74CA}"/>
    <hyperlink ref="B31" r:id="rId2" xr:uid="{BC2C4F00-CE4A-48E4-B2E7-4822A0697E64}"/>
    <hyperlink ref="B32" r:id="rId3" xr:uid="{2742374D-6237-4110-9CA7-32EC04590A17}"/>
    <hyperlink ref="B33" r:id="rId4" display="Connect with me on LinkedIn" xr:uid="{486C1081-1313-4066-B771-4A5883C8D56E}"/>
    <hyperlink ref="B44" r:id="rId5" display="See the GNU General Public License for more details (http://www.gnu.org/licenses/)." xr:uid="{D8F05DC5-4A82-4113-9B52-0059A7B1AE5D}"/>
    <hyperlink ref="B34" r:id="rId6" location="newsletter" display="Follow Statistical PERT on Twitter to learn when new updates are released" xr:uid="{1546AB72-9E21-434B-8EBB-52026FEA124E}"/>
  </hyperlinks>
  <pageMargins left="0.7" right="0.7" top="0.75" bottom="0.75" header="0.3" footer="0.3"/>
  <pageSetup orientation="portrait" horizontalDpi="0" verticalDpi="0" r:id="rId7"/>
  <drawing r:id="rId8"/>
  <extLst>
    <ext xmlns:x14="http://schemas.microsoft.com/office/spreadsheetml/2009/9/main" uri="{78C0D931-6437-407d-A8EE-F0AAD7539E65}">
      <x14:conditionalFormattings>
        <x14:conditionalFormatting xmlns:xm="http://schemas.microsoft.com/office/excel/2006/main">
          <x14:cfRule type="expression" priority="1" id="{F99935D1-72E6-4216-8CE2-C44790676BC4}">
            <xm:f>IF(#REF!=VLookups!$A$22,TRUE,FALSE)</xm:f>
            <x14:dxf>
              <numFmt numFmtId="9" formatCode="&quot;$&quot;#,##0_);\(&quot;$&quot;#,##0\)"/>
            </x14:dxf>
          </x14:cfRule>
          <xm:sqref>C4:C13</xm:sqref>
        </x14:conditionalFormatting>
        <x14:conditionalFormatting xmlns:xm="http://schemas.microsoft.com/office/excel/2006/main">
          <x14:cfRule type="expression" priority="37" id="{75E7B3D1-4D48-416A-ABC7-E830912F3F86}">
            <xm:f>IF(#REF!=VLookups!$A$22,TRUE,FALSE)</xm:f>
            <x14:dxf>
              <numFmt numFmtId="9" formatCode="&quot;$&quot;#,##0_);\(&quot;$&quot;#,##0\)"/>
            </x14:dxf>
          </x14:cfRule>
          <xm:sqref>C16 C19:C21 C25</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3582306-F8EF-42C7-88FD-10E98D59DC8D}">
          <x14:formula1>
            <xm:f>VLookups!$A$17:$A$18</xm:f>
          </x14:formula1>
          <xm:sqref>C21</xm:sqref>
        </x14:dataValidation>
        <x14:dataValidation type="list" allowBlank="1" showInputMessage="1" showErrorMessage="1" xr:uid="{D1F76AC6-585F-4630-BD71-A1F72C97353D}">
          <x14:formula1>
            <xm:f>VLookups!$A$4:$A$13</xm:f>
          </x14:formula1>
          <xm:sqref>C17</xm:sqref>
        </x14:dataValidation>
        <x14:dataValidation type="list" allowBlank="1" showInputMessage="1" showErrorMessage="1" xr:uid="{832F7294-6C1A-4F4A-AA12-6B04BAB788F2}">
          <x14:formula1>
            <xm:f>VLookups!$A$37:$A$39</xm:f>
          </x14:formula1>
          <xm:sqref>C6</xm:sqref>
        </x14:dataValidation>
      </x14:dataValidations>
    </ext>
    <ext xmlns:x14="http://schemas.microsoft.com/office/spreadsheetml/2009/9/main" uri="{05C60535-1F16-4fd2-B633-F4F36F0B64E0}">
      <x14:sparklineGroups xmlns:xm="http://schemas.microsoft.com/office/excel/2006/main">
        <x14:sparklineGroup displayEmptyCellsAs="gap" displayHidden="1" xr2:uid="{9682F04C-0A65-4E0A-9180-43C3C2FAB1AA}">
          <x14:colorSeries theme="1"/>
          <x14:colorNegative rgb="FFD00000"/>
          <x14:colorAxis rgb="FF000000"/>
          <x14:colorMarkers rgb="FFD00000"/>
          <x14:colorFirst rgb="FFD00000"/>
          <x14:colorLast rgb="FFD00000"/>
          <x14:colorHigh rgb="FFD00000"/>
          <x14:colorLow rgb="FFD00000"/>
          <x14:sparklines>
            <x14:sparkline>
              <xm:f>'Super Simple SPERT®'!C48:C148</xm:f>
              <xm:sqref>C18</xm:sqref>
            </x14:sparkline>
          </x14:sparklines>
        </x14:sparklineGroup>
      </x14:sparklineGroup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9E00F-0C9E-4DEC-92FD-B969F22C9C87}">
  <dimension ref="A1:PI224"/>
  <sheetViews>
    <sheetView showGridLines="0" zoomScaleNormal="100" workbookViewId="0">
      <selection activeCell="B9" sqref="B9"/>
    </sheetView>
  </sheetViews>
  <sheetFormatPr defaultRowHeight="14.25"/>
  <cols>
    <col min="1" max="1" width="14.6640625" style="1" customWidth="1"/>
    <col min="2" max="4" width="14.6640625" customWidth="1"/>
    <col min="5" max="6" width="4.73046875" style="1" customWidth="1"/>
    <col min="7" max="7" width="11.06640625" customWidth="1"/>
    <col min="8" max="8" width="24.19921875" style="1" customWidth="1"/>
    <col min="9" max="9" width="7.73046875" style="1" customWidth="1"/>
    <col min="10" max="11" width="11.73046875" customWidth="1"/>
    <col min="12" max="12" width="13.53125" hidden="1" customWidth="1"/>
    <col min="13" max="13" width="18.9296875" customWidth="1"/>
    <col min="14" max="14" width="10.73046875" customWidth="1"/>
    <col min="15" max="20" width="13.73046875" customWidth="1"/>
    <col min="22" max="223" width="9.1328125" customWidth="1"/>
    <col min="224" max="424" width="8.73046875" customWidth="1"/>
  </cols>
  <sheetData>
    <row r="1" spans="1:425" ht="24" customHeight="1">
      <c r="A1" s="36" t="s">
        <v>651</v>
      </c>
      <c r="C1" s="3"/>
      <c r="D1" s="3"/>
      <c r="E1" s="2"/>
      <c r="F1" s="2"/>
      <c r="G1" s="3"/>
      <c r="H1" s="2"/>
      <c r="I1" s="2"/>
      <c r="J1" s="3"/>
      <c r="K1" s="3"/>
      <c r="L1" s="3"/>
      <c r="M1" s="81" t="s">
        <v>35</v>
      </c>
      <c r="P1" s="181"/>
      <c r="Q1" s="181" t="str">
        <f>VLOOKUP($M$1,VLookups!$A$17:$C$18,3,FALSE)</f>
        <v>Show the likelihood that the SPERT estimates will be EQUAL TO or GREATER THAN an uncertainty</v>
      </c>
      <c r="S1" s="181"/>
      <c r="T1" s="181"/>
      <c r="U1" s="3"/>
    </row>
    <row r="2" spans="1:425" ht="15" customHeight="1">
      <c r="B2" s="9"/>
      <c r="C2" s="9"/>
      <c r="D2" s="9"/>
      <c r="E2" s="10"/>
      <c r="F2" s="10"/>
      <c r="G2" s="9"/>
      <c r="H2" s="10"/>
      <c r="I2" s="10"/>
      <c r="J2" s="3"/>
      <c r="K2" s="3"/>
      <c r="L2" s="3"/>
      <c r="M2" s="228" t="s">
        <v>32</v>
      </c>
      <c r="N2" s="228" t="s">
        <v>33</v>
      </c>
      <c r="O2" s="230" t="s">
        <v>24</v>
      </c>
      <c r="P2" s="231"/>
      <c r="Q2" s="231"/>
      <c r="R2" s="231"/>
      <c r="S2" s="231"/>
      <c r="T2" s="232"/>
      <c r="U2" s="3"/>
      <c r="V2" s="75" t="s">
        <v>55</v>
      </c>
    </row>
    <row r="3" spans="1:425">
      <c r="A3" s="39" t="s">
        <v>638</v>
      </c>
      <c r="B3" s="39" t="s">
        <v>18</v>
      </c>
      <c r="C3" s="39" t="s">
        <v>5</v>
      </c>
      <c r="D3" s="39" t="s">
        <v>19</v>
      </c>
      <c r="E3" s="39"/>
      <c r="F3" s="39"/>
      <c r="G3" s="39" t="s">
        <v>31</v>
      </c>
      <c r="H3" s="39" t="s">
        <v>6</v>
      </c>
      <c r="I3" s="39" t="s">
        <v>52</v>
      </c>
      <c r="J3" s="39" t="s">
        <v>618</v>
      </c>
      <c r="K3" s="39" t="s">
        <v>30</v>
      </c>
      <c r="L3" s="39" t="s">
        <v>41</v>
      </c>
      <c r="M3" s="229"/>
      <c r="N3" s="229"/>
      <c r="O3" s="66">
        <v>0.1</v>
      </c>
      <c r="P3" s="35">
        <v>0.9</v>
      </c>
      <c r="Q3" s="35">
        <v>0.85</v>
      </c>
      <c r="R3" s="35">
        <v>0.8</v>
      </c>
      <c r="S3" s="35">
        <v>0.75</v>
      </c>
      <c r="T3" s="35">
        <v>0.7</v>
      </c>
      <c r="U3" s="3"/>
      <c r="V3" s="75" t="s">
        <v>56</v>
      </c>
      <c r="HP3" s="75" t="s">
        <v>53</v>
      </c>
      <c r="PI3" s="78" t="s">
        <v>635</v>
      </c>
    </row>
    <row r="4" spans="1:425">
      <c r="A4" s="148" t="s">
        <v>840</v>
      </c>
      <c r="B4" s="149">
        <v>64</v>
      </c>
      <c r="C4" s="149">
        <v>93.1</v>
      </c>
      <c r="D4" s="149">
        <v>118</v>
      </c>
      <c r="E4" s="19">
        <f>IF(OR(ISBLANK(C4),ISBLANK(D4),ISBLANK(B4)),"",IF(AND(B4&gt;0,C4&gt;0,D4&gt;0),IF(C4&gt;B4,IF(D4&gt;C4,1,-1),-1)))</f>
        <v>1</v>
      </c>
      <c r="F4" s="19">
        <f>IF(OR(ISBLANK(B4),ISBLANK(C4),ISBLANK(D4)),"",IFERROR(MIN(C4-B4,D4-C4)/MAX(C4-B4,D4-C4),""))</f>
        <v>0.85567010309278391</v>
      </c>
      <c r="G4" s="53">
        <f>IF(AND(B4&gt;0,C4&gt;0,D4&gt;0),(B4+(4*C4)+D4)/6,"")</f>
        <v>92.399999999999991</v>
      </c>
      <c r="H4" s="150" t="s">
        <v>3</v>
      </c>
      <c r="I4" s="39"/>
      <c r="J4" s="151">
        <v>7.6</v>
      </c>
      <c r="K4" s="183">
        <f>IF(AND(B4&gt;0,C4&gt;0,D4&gt;0),IF(ISBLANK(J4),IF(ISBLANK(H4),"",(D4-B4)*VLOOKUP(H4,VLookups!$A$4:$B$13,2,FALSE)),J4),"")</f>
        <v>7.6</v>
      </c>
      <c r="L4" s="152">
        <f>IF(K4="","",K4^2)</f>
        <v>57.76</v>
      </c>
      <c r="M4" s="64"/>
      <c r="N4" s="153" t="str">
        <f>IF(AND(M4&gt;0,C4&gt;0,NOT(K4="")),ABS(VLOOKUP($M$1,VLookups!$A$17:$B$18,2,FALSE)-_xlfn.NORM.DIST(M4,G4,K4,TRUE)),"")</f>
        <v/>
      </c>
      <c r="O4" s="154">
        <f>IF(AND($B4&gt;0,$C4&gt;0,$D4&gt;0,NOT(ISBLANK($H4))),_xlfn.NORM.INV(ABS(VLOOKUP($M$1,VLookups!$A$17:$B$18,2,FALSE)-O$3),$G4,$K4),"")</f>
        <v>82.660208101861031</v>
      </c>
      <c r="P4" s="155">
        <f>IF(AND($B4&gt;0,$C4&gt;0,$D4&gt;0,NOT(ISBLANK($H4))),_xlfn.NORM.INV(ABS(VLOOKUP($M$1,VLookups!$A$17:$B$18,2,FALSE)-P$3),$G4,$K4),"")</f>
        <v>102.13979189813895</v>
      </c>
      <c r="Q4" s="154">
        <f>IF(AND($B4&gt;0,$C4&gt;0,$D4&gt;0,NOT(ISBLANK($H4))),_xlfn.NORM.INV(ABS(VLOOKUP($M$1,VLookups!$A$17:$B$18,2,FALSE)-Q$3),$G4,$K4),"")</f>
        <v>100.27689376015279</v>
      </c>
      <c r="R4" s="155">
        <f>IF(AND($B4&gt;0,$C4&gt;0,$D4&gt;0,NOT(ISBLANK($H4))),_xlfn.NORM.INV(ABS(VLOOKUP($M$1,VLookups!$A$17:$B$18,2,FALSE)-R$3),$G4,$K4),"")</f>
        <v>98.79632137515415</v>
      </c>
      <c r="S4" s="154">
        <f>IF(AND($B4&gt;0,$C4&gt;0,$D4&gt;0,NOT(ISBLANK($H4))),_xlfn.NORM.INV(ABS(VLOOKUP($M$1,VLookups!$A$17:$B$18,2,FALSE)-S$3),$G4,$K4),"")</f>
        <v>97.526122101490216</v>
      </c>
      <c r="T4" s="155">
        <f>IF(AND($B4&gt;0,$C4&gt;0,$D4&gt;0,NOT(ISBLANK($H4))),_xlfn.NORM.INV(ABS(VLOOKUP($M$1,VLookups!$A$17:$B$18,2,FALSE)-T$3),$G4,$K4),"")</f>
        <v>96.385443896581108</v>
      </c>
      <c r="U4" s="3"/>
      <c r="V4" s="76">
        <f>IF(AND(B4&gt;0,C4&gt;0,D4&gt;0),ABS(B4-D4)/(G10*140),"")</f>
        <v>0.30857142857142855</v>
      </c>
      <c r="W4" s="33">
        <f t="shared" ref="W4:CH4" si="0">IF(ISNONTEXT($V4),X4-$V4,"")</f>
        <v>62.242857142857389</v>
      </c>
      <c r="X4" s="33">
        <f t="shared" si="0"/>
        <v>62.551428571428815</v>
      </c>
      <c r="Y4" s="33">
        <f t="shared" si="0"/>
        <v>62.860000000000241</v>
      </c>
      <c r="Z4" s="33">
        <f t="shared" si="0"/>
        <v>63.168571428571667</v>
      </c>
      <c r="AA4" s="33">
        <f t="shared" si="0"/>
        <v>63.477142857143093</v>
      </c>
      <c r="AB4" s="33">
        <f t="shared" si="0"/>
        <v>63.785714285714519</v>
      </c>
      <c r="AC4" s="33">
        <f t="shared" si="0"/>
        <v>64.094285714285945</v>
      </c>
      <c r="AD4" s="33">
        <f t="shared" si="0"/>
        <v>64.402857142857371</v>
      </c>
      <c r="AE4" s="33">
        <f t="shared" si="0"/>
        <v>64.711428571428797</v>
      </c>
      <c r="AF4" s="33">
        <f t="shared" si="0"/>
        <v>65.020000000000223</v>
      </c>
      <c r="AG4" s="33">
        <f t="shared" si="0"/>
        <v>65.328571428571649</v>
      </c>
      <c r="AH4" s="33">
        <f t="shared" si="0"/>
        <v>65.637142857143076</v>
      </c>
      <c r="AI4" s="33">
        <f t="shared" si="0"/>
        <v>65.945714285714502</v>
      </c>
      <c r="AJ4" s="33">
        <f t="shared" si="0"/>
        <v>66.254285714285928</v>
      </c>
      <c r="AK4" s="33">
        <f t="shared" si="0"/>
        <v>66.562857142857354</v>
      </c>
      <c r="AL4" s="33">
        <f t="shared" si="0"/>
        <v>66.87142857142878</v>
      </c>
      <c r="AM4" s="33">
        <f t="shared" si="0"/>
        <v>67.180000000000206</v>
      </c>
      <c r="AN4" s="33">
        <f t="shared" si="0"/>
        <v>67.488571428571632</v>
      </c>
      <c r="AO4" s="33">
        <f t="shared" si="0"/>
        <v>67.797142857143058</v>
      </c>
      <c r="AP4" s="33">
        <f t="shared" si="0"/>
        <v>68.105714285714484</v>
      </c>
      <c r="AQ4" s="33">
        <f t="shared" si="0"/>
        <v>68.41428571428591</v>
      </c>
      <c r="AR4" s="33">
        <f t="shared" si="0"/>
        <v>68.722857142857336</v>
      </c>
      <c r="AS4" s="33">
        <f t="shared" si="0"/>
        <v>69.031428571428762</v>
      </c>
      <c r="AT4" s="33">
        <f t="shared" si="0"/>
        <v>69.340000000000188</v>
      </c>
      <c r="AU4" s="33">
        <f t="shared" si="0"/>
        <v>69.648571428571614</v>
      </c>
      <c r="AV4" s="33">
        <f t="shared" si="0"/>
        <v>69.95714285714304</v>
      </c>
      <c r="AW4" s="33">
        <f t="shared" si="0"/>
        <v>70.265714285714466</v>
      </c>
      <c r="AX4" s="33">
        <f t="shared" si="0"/>
        <v>70.574285714285892</v>
      </c>
      <c r="AY4" s="33">
        <f t="shared" si="0"/>
        <v>70.882857142857318</v>
      </c>
      <c r="AZ4" s="33">
        <f t="shared" si="0"/>
        <v>71.191428571428744</v>
      </c>
      <c r="BA4" s="33">
        <f t="shared" si="0"/>
        <v>71.500000000000171</v>
      </c>
      <c r="BB4" s="33">
        <f t="shared" si="0"/>
        <v>71.808571428571597</v>
      </c>
      <c r="BC4" s="33">
        <f t="shared" si="0"/>
        <v>72.117142857143023</v>
      </c>
      <c r="BD4" s="33">
        <f t="shared" si="0"/>
        <v>72.425714285714449</v>
      </c>
      <c r="BE4" s="33">
        <f t="shared" si="0"/>
        <v>72.734285714285875</v>
      </c>
      <c r="BF4" s="33">
        <f t="shared" si="0"/>
        <v>73.042857142857301</v>
      </c>
      <c r="BG4" s="33">
        <f t="shared" si="0"/>
        <v>73.351428571428727</v>
      </c>
      <c r="BH4" s="33">
        <f t="shared" si="0"/>
        <v>73.660000000000153</v>
      </c>
      <c r="BI4" s="33">
        <f t="shared" si="0"/>
        <v>73.968571428571579</v>
      </c>
      <c r="BJ4" s="33">
        <f t="shared" si="0"/>
        <v>74.277142857143005</v>
      </c>
      <c r="BK4" s="33">
        <f t="shared" si="0"/>
        <v>74.585714285714431</v>
      </c>
      <c r="BL4" s="33">
        <f t="shared" si="0"/>
        <v>74.894285714285857</v>
      </c>
      <c r="BM4" s="33">
        <f t="shared" si="0"/>
        <v>75.202857142857283</v>
      </c>
      <c r="BN4" s="33">
        <f t="shared" si="0"/>
        <v>75.511428571428709</v>
      </c>
      <c r="BO4" s="33">
        <f t="shared" si="0"/>
        <v>75.820000000000135</v>
      </c>
      <c r="BP4" s="33">
        <f t="shared" si="0"/>
        <v>76.128571428571561</v>
      </c>
      <c r="BQ4" s="33">
        <f t="shared" si="0"/>
        <v>76.437142857142987</v>
      </c>
      <c r="BR4" s="33">
        <f t="shared" si="0"/>
        <v>76.745714285714413</v>
      </c>
      <c r="BS4" s="33">
        <f t="shared" si="0"/>
        <v>77.05428571428584</v>
      </c>
      <c r="BT4" s="33">
        <f t="shared" si="0"/>
        <v>77.362857142857266</v>
      </c>
      <c r="BU4" s="33">
        <f t="shared" si="0"/>
        <v>77.671428571428692</v>
      </c>
      <c r="BV4" s="33">
        <f t="shared" si="0"/>
        <v>77.980000000000118</v>
      </c>
      <c r="BW4" s="33">
        <f t="shared" si="0"/>
        <v>78.288571428571544</v>
      </c>
      <c r="BX4" s="33">
        <f t="shared" si="0"/>
        <v>78.59714285714297</v>
      </c>
      <c r="BY4" s="33">
        <f t="shared" si="0"/>
        <v>78.905714285714396</v>
      </c>
      <c r="BZ4" s="33">
        <f t="shared" si="0"/>
        <v>79.214285714285822</v>
      </c>
      <c r="CA4" s="33">
        <f t="shared" si="0"/>
        <v>79.522857142857248</v>
      </c>
      <c r="CB4" s="33">
        <f t="shared" si="0"/>
        <v>79.831428571428674</v>
      </c>
      <c r="CC4" s="33">
        <f t="shared" si="0"/>
        <v>80.1400000000001</v>
      </c>
      <c r="CD4" s="33">
        <f t="shared" si="0"/>
        <v>80.448571428571526</v>
      </c>
      <c r="CE4" s="33">
        <f t="shared" si="0"/>
        <v>80.757142857142952</v>
      </c>
      <c r="CF4" s="33">
        <f t="shared" si="0"/>
        <v>81.065714285714378</v>
      </c>
      <c r="CG4" s="33">
        <f t="shared" si="0"/>
        <v>81.374285714285804</v>
      </c>
      <c r="CH4" s="33">
        <f t="shared" si="0"/>
        <v>81.68285714285723</v>
      </c>
      <c r="CI4" s="33">
        <f t="shared" ref="CI4:DQ4" si="1">IF(ISNONTEXT($V4),CJ4-$V4,"")</f>
        <v>81.991428571428656</v>
      </c>
      <c r="CJ4" s="33">
        <f t="shared" si="1"/>
        <v>82.300000000000082</v>
      </c>
      <c r="CK4" s="33">
        <f t="shared" si="1"/>
        <v>82.608571428571508</v>
      </c>
      <c r="CL4" s="33">
        <f t="shared" si="1"/>
        <v>82.917142857142935</v>
      </c>
      <c r="CM4" s="33">
        <f t="shared" si="1"/>
        <v>83.225714285714361</v>
      </c>
      <c r="CN4" s="33">
        <f t="shared" si="1"/>
        <v>83.534285714285787</v>
      </c>
      <c r="CO4" s="33">
        <f t="shared" si="1"/>
        <v>83.842857142857213</v>
      </c>
      <c r="CP4" s="33">
        <f t="shared" si="1"/>
        <v>84.151428571428639</v>
      </c>
      <c r="CQ4" s="33">
        <f t="shared" si="1"/>
        <v>84.460000000000065</v>
      </c>
      <c r="CR4" s="33">
        <f t="shared" si="1"/>
        <v>84.768571428571491</v>
      </c>
      <c r="CS4" s="33">
        <f t="shared" si="1"/>
        <v>85.077142857142917</v>
      </c>
      <c r="CT4" s="33">
        <f t="shared" si="1"/>
        <v>85.385714285714343</v>
      </c>
      <c r="CU4" s="33">
        <f t="shared" si="1"/>
        <v>85.694285714285769</v>
      </c>
      <c r="CV4" s="33">
        <f t="shared" si="1"/>
        <v>86.002857142857195</v>
      </c>
      <c r="CW4" s="33">
        <f t="shared" si="1"/>
        <v>86.311428571428621</v>
      </c>
      <c r="CX4" s="33">
        <f t="shared" si="1"/>
        <v>86.620000000000047</v>
      </c>
      <c r="CY4" s="33">
        <f t="shared" si="1"/>
        <v>86.928571428571473</v>
      </c>
      <c r="CZ4" s="33">
        <f t="shared" si="1"/>
        <v>87.237142857142899</v>
      </c>
      <c r="DA4" s="33">
        <f t="shared" si="1"/>
        <v>87.545714285714325</v>
      </c>
      <c r="DB4" s="33">
        <f t="shared" si="1"/>
        <v>87.854285714285751</v>
      </c>
      <c r="DC4" s="33">
        <f t="shared" si="1"/>
        <v>88.162857142857177</v>
      </c>
      <c r="DD4" s="33">
        <f t="shared" si="1"/>
        <v>88.471428571428604</v>
      </c>
      <c r="DE4" s="33">
        <f t="shared" si="1"/>
        <v>88.78000000000003</v>
      </c>
      <c r="DF4" s="33">
        <f t="shared" si="1"/>
        <v>89.088571428571456</v>
      </c>
      <c r="DG4" s="33">
        <f t="shared" si="1"/>
        <v>89.397142857142882</v>
      </c>
      <c r="DH4" s="33">
        <f t="shared" si="1"/>
        <v>89.705714285714308</v>
      </c>
      <c r="DI4" s="33">
        <f t="shared" si="1"/>
        <v>90.014285714285734</v>
      </c>
      <c r="DJ4" s="33">
        <f t="shared" si="1"/>
        <v>90.32285714285716</v>
      </c>
      <c r="DK4" s="33">
        <f t="shared" si="1"/>
        <v>90.631428571428586</v>
      </c>
      <c r="DL4" s="33">
        <f t="shared" si="1"/>
        <v>90.940000000000012</v>
      </c>
      <c r="DM4" s="33">
        <f t="shared" si="1"/>
        <v>91.248571428571438</v>
      </c>
      <c r="DN4" s="33">
        <f t="shared" si="1"/>
        <v>91.557142857142864</v>
      </c>
      <c r="DO4" s="33">
        <f t="shared" si="1"/>
        <v>91.86571428571429</v>
      </c>
      <c r="DP4" s="33">
        <f t="shared" si="1"/>
        <v>92.174285714285716</v>
      </c>
      <c r="DQ4" s="33">
        <f t="shared" si="1"/>
        <v>92.482857142857142</v>
      </c>
      <c r="DR4" s="33">
        <f>IF(ISNONTEXT($V4),DS4-$V4,"")</f>
        <v>92.791428571428568</v>
      </c>
      <c r="DS4" s="80">
        <f>IF(ISNONTEXT($V4),$C$4,"")</f>
        <v>93.1</v>
      </c>
      <c r="DT4" s="33">
        <f t="shared" ref="DT4" si="2">IF(ISNONTEXT($V4),DS4+$V4,"")</f>
        <v>93.40857142857142</v>
      </c>
      <c r="DU4" s="33">
        <f t="shared" ref="DU4" si="3">IF(ISNONTEXT($V4),DT4+$V4,"")</f>
        <v>93.717142857142846</v>
      </c>
      <c r="DV4" s="33">
        <f t="shared" ref="DV4" si="4">IF(ISNONTEXT($V4),DU4+$V4,"")</f>
        <v>94.025714285714272</v>
      </c>
      <c r="DW4" s="33">
        <f t="shared" ref="DW4" si="5">IF(ISNONTEXT($V4),DV4+$V4,"")</f>
        <v>94.334285714285699</v>
      </c>
      <c r="DX4" s="33">
        <f t="shared" ref="DX4" si="6">IF(ISNONTEXT($V4),DW4+$V4,"")</f>
        <v>94.642857142857125</v>
      </c>
      <c r="DY4" s="33">
        <f t="shared" ref="DY4" si="7">IF(ISNONTEXT($V4),DX4+$V4,"")</f>
        <v>94.951428571428551</v>
      </c>
      <c r="DZ4" s="33">
        <f t="shared" ref="DZ4" si="8">IF(ISNONTEXT($V4),DY4+$V4,"")</f>
        <v>95.259999999999977</v>
      </c>
      <c r="EA4" s="33">
        <f t="shared" ref="EA4" si="9">IF(ISNONTEXT($V4),DZ4+$V4,"")</f>
        <v>95.568571428571403</v>
      </c>
      <c r="EB4" s="33">
        <f t="shared" ref="EB4" si="10">IF(ISNONTEXT($V4),EA4+$V4,"")</f>
        <v>95.877142857142829</v>
      </c>
      <c r="EC4" s="33">
        <f t="shared" ref="EC4" si="11">IF(ISNONTEXT($V4),EB4+$V4,"")</f>
        <v>96.185714285714255</v>
      </c>
      <c r="ED4" s="33">
        <f t="shared" ref="ED4" si="12">IF(ISNONTEXT($V4),EC4+$V4,"")</f>
        <v>96.494285714285681</v>
      </c>
      <c r="EE4" s="33">
        <f t="shared" ref="EE4" si="13">IF(ISNONTEXT($V4),ED4+$V4,"")</f>
        <v>96.802857142857107</v>
      </c>
      <c r="EF4" s="33">
        <f t="shared" ref="EF4" si="14">IF(ISNONTEXT($V4),EE4+$V4,"")</f>
        <v>97.111428571428533</v>
      </c>
      <c r="EG4" s="33">
        <f t="shared" ref="EG4" si="15">IF(ISNONTEXT($V4),EF4+$V4,"")</f>
        <v>97.419999999999959</v>
      </c>
      <c r="EH4" s="33">
        <f t="shared" ref="EH4" si="16">IF(ISNONTEXT($V4),EG4+$V4,"")</f>
        <v>97.728571428571385</v>
      </c>
      <c r="EI4" s="33">
        <f t="shared" ref="EI4" si="17">IF(ISNONTEXT($V4),EH4+$V4,"")</f>
        <v>98.037142857142811</v>
      </c>
      <c r="EJ4" s="33">
        <f t="shared" ref="EJ4" si="18">IF(ISNONTEXT($V4),EI4+$V4,"")</f>
        <v>98.345714285714237</v>
      </c>
      <c r="EK4" s="33">
        <f t="shared" ref="EK4" si="19">IF(ISNONTEXT($V4),EJ4+$V4,"")</f>
        <v>98.654285714285663</v>
      </c>
      <c r="EL4" s="33">
        <f t="shared" ref="EL4" si="20">IF(ISNONTEXT($V4),EK4+$V4,"")</f>
        <v>98.962857142857089</v>
      </c>
      <c r="EM4" s="33">
        <f t="shared" ref="EM4" si="21">IF(ISNONTEXT($V4),EL4+$V4,"")</f>
        <v>99.271428571428515</v>
      </c>
      <c r="EN4" s="33">
        <f t="shared" ref="EN4" si="22">IF(ISNONTEXT($V4),EM4+$V4,"")</f>
        <v>99.579999999999941</v>
      </c>
      <c r="EO4" s="33">
        <f t="shared" ref="EO4" si="23">IF(ISNONTEXT($V4),EN4+$V4,"")</f>
        <v>99.888571428571368</v>
      </c>
      <c r="EP4" s="33">
        <f t="shared" ref="EP4" si="24">IF(ISNONTEXT($V4),EO4+$V4,"")</f>
        <v>100.19714285714279</v>
      </c>
      <c r="EQ4" s="33">
        <f t="shared" ref="EQ4" si="25">IF(ISNONTEXT($V4),EP4+$V4,"")</f>
        <v>100.50571428571422</v>
      </c>
      <c r="ER4" s="33">
        <f t="shared" ref="ER4" si="26">IF(ISNONTEXT($V4),EQ4+$V4,"")</f>
        <v>100.81428571428565</v>
      </c>
      <c r="ES4" s="33">
        <f t="shared" ref="ES4" si="27">IF(ISNONTEXT($V4),ER4+$V4,"")</f>
        <v>101.12285714285707</v>
      </c>
      <c r="ET4" s="33">
        <f t="shared" ref="ET4" si="28">IF(ISNONTEXT($V4),ES4+$V4,"")</f>
        <v>101.4314285714285</v>
      </c>
      <c r="EU4" s="33">
        <f t="shared" ref="EU4" si="29">IF(ISNONTEXT($V4),ET4+$V4,"")</f>
        <v>101.73999999999992</v>
      </c>
      <c r="EV4" s="33">
        <f t="shared" ref="EV4" si="30">IF(ISNONTEXT($V4),EU4+$V4,"")</f>
        <v>102.04857142857135</v>
      </c>
      <c r="EW4" s="33">
        <f t="shared" ref="EW4" si="31">IF(ISNONTEXT($V4),EV4+$V4,"")</f>
        <v>102.35714285714278</v>
      </c>
      <c r="EX4" s="33">
        <f t="shared" ref="EX4" si="32">IF(ISNONTEXT($V4),EW4+$V4,"")</f>
        <v>102.6657142857142</v>
      </c>
      <c r="EY4" s="33">
        <f t="shared" ref="EY4" si="33">IF(ISNONTEXT($V4),EX4+$V4,"")</f>
        <v>102.97428571428563</v>
      </c>
      <c r="EZ4" s="33">
        <f t="shared" ref="EZ4" si="34">IF(ISNONTEXT($V4),EY4+$V4,"")</f>
        <v>103.28285714285705</v>
      </c>
      <c r="FA4" s="33">
        <f t="shared" ref="FA4" si="35">IF(ISNONTEXT($V4),EZ4+$V4,"")</f>
        <v>103.59142857142848</v>
      </c>
      <c r="FB4" s="33">
        <f t="shared" ref="FB4" si="36">IF(ISNONTEXT($V4),FA4+$V4,"")</f>
        <v>103.89999999999991</v>
      </c>
      <c r="FC4" s="33">
        <f t="shared" ref="FC4" si="37">IF(ISNONTEXT($V4),FB4+$V4,"")</f>
        <v>104.20857142857133</v>
      </c>
      <c r="FD4" s="33">
        <f t="shared" ref="FD4" si="38">IF(ISNONTEXT($V4),FC4+$V4,"")</f>
        <v>104.51714285714276</v>
      </c>
      <c r="FE4" s="33">
        <f t="shared" ref="FE4" si="39">IF(ISNONTEXT($V4),FD4+$V4,"")</f>
        <v>104.82571428571418</v>
      </c>
      <c r="FF4" s="33">
        <f t="shared" ref="FF4" si="40">IF(ISNONTEXT($V4),FE4+$V4,"")</f>
        <v>105.13428571428561</v>
      </c>
      <c r="FG4" s="33">
        <f t="shared" ref="FG4" si="41">IF(ISNONTEXT($V4),FF4+$V4,"")</f>
        <v>105.44285714285704</v>
      </c>
      <c r="FH4" s="33">
        <f t="shared" ref="FH4" si="42">IF(ISNONTEXT($V4),FG4+$V4,"")</f>
        <v>105.75142857142846</v>
      </c>
      <c r="FI4" s="33">
        <f t="shared" ref="FI4" si="43">IF(ISNONTEXT($V4),FH4+$V4,"")</f>
        <v>106.05999999999989</v>
      </c>
      <c r="FJ4" s="33">
        <f t="shared" ref="FJ4" si="44">IF(ISNONTEXT($V4),FI4+$V4,"")</f>
        <v>106.36857142857131</v>
      </c>
      <c r="FK4" s="33">
        <f t="shared" ref="FK4" si="45">IF(ISNONTEXT($V4),FJ4+$V4,"")</f>
        <v>106.67714285714274</v>
      </c>
      <c r="FL4" s="33">
        <f t="shared" ref="FL4" si="46">IF(ISNONTEXT($V4),FK4+$V4,"")</f>
        <v>106.98571428571417</v>
      </c>
      <c r="FM4" s="33">
        <f t="shared" ref="FM4" si="47">IF(ISNONTEXT($V4),FL4+$V4,"")</f>
        <v>107.29428571428559</v>
      </c>
      <c r="FN4" s="33">
        <f t="shared" ref="FN4" si="48">IF(ISNONTEXT($V4),FM4+$V4,"")</f>
        <v>107.60285714285702</v>
      </c>
      <c r="FO4" s="33">
        <f t="shared" ref="FO4" si="49">IF(ISNONTEXT($V4),FN4+$V4,"")</f>
        <v>107.91142857142844</v>
      </c>
      <c r="FP4" s="33">
        <f t="shared" ref="FP4" si="50">IF(ISNONTEXT($V4),FO4+$V4,"")</f>
        <v>108.21999999999987</v>
      </c>
      <c r="FQ4" s="33">
        <f t="shared" ref="FQ4" si="51">IF(ISNONTEXT($V4),FP4+$V4,"")</f>
        <v>108.5285714285713</v>
      </c>
      <c r="FR4" s="33">
        <f t="shared" ref="FR4" si="52">IF(ISNONTEXT($V4),FQ4+$V4,"")</f>
        <v>108.83714285714272</v>
      </c>
      <c r="FS4" s="33">
        <f t="shared" ref="FS4" si="53">IF(ISNONTEXT($V4),FR4+$V4,"")</f>
        <v>109.14571428571415</v>
      </c>
      <c r="FT4" s="33">
        <f t="shared" ref="FT4" si="54">IF(ISNONTEXT($V4),FS4+$V4,"")</f>
        <v>109.45428571428558</v>
      </c>
      <c r="FU4" s="33">
        <f t="shared" ref="FU4" si="55">IF(ISNONTEXT($V4),FT4+$V4,"")</f>
        <v>109.762857142857</v>
      </c>
      <c r="FV4" s="33">
        <f t="shared" ref="FV4" si="56">IF(ISNONTEXT($V4),FU4+$V4,"")</f>
        <v>110.07142857142843</v>
      </c>
      <c r="FW4" s="33">
        <f t="shared" ref="FW4" si="57">IF(ISNONTEXT($V4),FV4+$V4,"")</f>
        <v>110.37999999999985</v>
      </c>
      <c r="FX4" s="33">
        <f t="shared" ref="FX4" si="58">IF(ISNONTEXT($V4),FW4+$V4,"")</f>
        <v>110.68857142857128</v>
      </c>
      <c r="FY4" s="33">
        <f t="shared" ref="FY4" si="59">IF(ISNONTEXT($V4),FX4+$V4,"")</f>
        <v>110.99714285714271</v>
      </c>
      <c r="FZ4" s="33">
        <f t="shared" ref="FZ4" si="60">IF(ISNONTEXT($V4),FY4+$V4,"")</f>
        <v>111.30571428571413</v>
      </c>
      <c r="GA4" s="33">
        <f t="shared" ref="GA4" si="61">IF(ISNONTEXT($V4),FZ4+$V4,"")</f>
        <v>111.61428571428556</v>
      </c>
      <c r="GB4" s="33">
        <f t="shared" ref="GB4" si="62">IF(ISNONTEXT($V4),GA4+$V4,"")</f>
        <v>111.92285714285698</v>
      </c>
      <c r="GC4" s="33">
        <f t="shared" ref="GC4" si="63">IF(ISNONTEXT($V4),GB4+$V4,"")</f>
        <v>112.23142857142841</v>
      </c>
      <c r="GD4" s="33">
        <f t="shared" ref="GD4" si="64">IF(ISNONTEXT($V4),GC4+$V4,"")</f>
        <v>112.53999999999984</v>
      </c>
      <c r="GE4" s="33">
        <f t="shared" ref="GE4" si="65">IF(ISNONTEXT($V4),GD4+$V4,"")</f>
        <v>112.84857142857126</v>
      </c>
      <c r="GF4" s="33">
        <f t="shared" ref="GF4" si="66">IF(ISNONTEXT($V4),GE4+$V4,"")</f>
        <v>113.15714285714269</v>
      </c>
      <c r="GG4" s="33">
        <f t="shared" ref="GG4" si="67">IF(ISNONTEXT($V4),GF4+$V4,"")</f>
        <v>113.46571428571411</v>
      </c>
      <c r="GH4" s="33">
        <f t="shared" ref="GH4" si="68">IF(ISNONTEXT($V4),GG4+$V4,"")</f>
        <v>113.77428571428554</v>
      </c>
      <c r="GI4" s="33">
        <f t="shared" ref="GI4" si="69">IF(ISNONTEXT($V4),GH4+$V4,"")</f>
        <v>114.08285714285697</v>
      </c>
      <c r="GJ4" s="33">
        <f t="shared" ref="GJ4" si="70">IF(ISNONTEXT($V4),GI4+$V4,"")</f>
        <v>114.39142857142839</v>
      </c>
      <c r="GK4" s="33">
        <f t="shared" ref="GK4" si="71">IF(ISNONTEXT($V4),GJ4+$V4,"")</f>
        <v>114.69999999999982</v>
      </c>
      <c r="GL4" s="33">
        <f t="shared" ref="GL4" si="72">IF(ISNONTEXT($V4),GK4+$V4,"")</f>
        <v>115.00857142857124</v>
      </c>
      <c r="GM4" s="33">
        <f t="shared" ref="GM4" si="73">IF(ISNONTEXT($V4),GL4+$V4,"")</f>
        <v>115.31714285714267</v>
      </c>
      <c r="GN4" s="33">
        <f t="shared" ref="GN4" si="74">IF(ISNONTEXT($V4),GM4+$V4,"")</f>
        <v>115.6257142857141</v>
      </c>
      <c r="GO4" s="33">
        <f t="shared" ref="GO4" si="75">IF(ISNONTEXT($V4),GN4+$V4,"")</f>
        <v>115.93428571428552</v>
      </c>
      <c r="GP4" s="33">
        <f t="shared" ref="GP4" si="76">IF(ISNONTEXT($V4),GO4+$V4,"")</f>
        <v>116.24285714285695</v>
      </c>
      <c r="GQ4" s="33">
        <f t="shared" ref="GQ4" si="77">IF(ISNONTEXT($V4),GP4+$V4,"")</f>
        <v>116.55142857142837</v>
      </c>
      <c r="GR4" s="33">
        <f t="shared" ref="GR4" si="78">IF(ISNONTEXT($V4),GQ4+$V4,"")</f>
        <v>116.8599999999998</v>
      </c>
      <c r="GS4" s="33">
        <f t="shared" ref="GS4" si="79">IF(ISNONTEXT($V4),GR4+$V4,"")</f>
        <v>117.16857142857123</v>
      </c>
      <c r="GT4" s="33">
        <f t="shared" ref="GT4" si="80">IF(ISNONTEXT($V4),GS4+$V4,"")</f>
        <v>117.47714285714265</v>
      </c>
      <c r="GU4" s="33">
        <f t="shared" ref="GU4" si="81">IF(ISNONTEXT($V4),GT4+$V4,"")</f>
        <v>117.78571428571408</v>
      </c>
      <c r="GV4" s="33">
        <f t="shared" ref="GV4" si="82">IF(ISNONTEXT($V4),GU4+$V4,"")</f>
        <v>118.0942857142855</v>
      </c>
      <c r="GW4" s="33">
        <f t="shared" ref="GW4" si="83">IF(ISNONTEXT($V4),GV4+$V4,"")</f>
        <v>118.40285714285693</v>
      </c>
      <c r="GX4" s="33">
        <f t="shared" ref="GX4" si="84">IF(ISNONTEXT($V4),GW4+$V4,"")</f>
        <v>118.71142857142836</v>
      </c>
      <c r="GY4" s="33">
        <f t="shared" ref="GY4" si="85">IF(ISNONTEXT($V4),GX4+$V4,"")</f>
        <v>119.01999999999978</v>
      </c>
      <c r="GZ4" s="33">
        <f t="shared" ref="GZ4" si="86">IF(ISNONTEXT($V4),GY4+$V4,"")</f>
        <v>119.32857142857121</v>
      </c>
      <c r="HA4" s="33">
        <f t="shared" ref="HA4" si="87">IF(ISNONTEXT($V4),GZ4+$V4,"")</f>
        <v>119.63714285714263</v>
      </c>
      <c r="HB4" s="33">
        <f t="shared" ref="HB4" si="88">IF(ISNONTEXT($V4),HA4+$V4,"")</f>
        <v>119.94571428571406</v>
      </c>
      <c r="HC4" s="33">
        <f t="shared" ref="HC4" si="89">IF(ISNONTEXT($V4),HB4+$V4,"")</f>
        <v>120.25428571428549</v>
      </c>
      <c r="HD4" s="33">
        <f t="shared" ref="HD4" si="90">IF(ISNONTEXT($V4),HC4+$V4,"")</f>
        <v>120.56285714285691</v>
      </c>
      <c r="HE4" s="33">
        <f t="shared" ref="HE4" si="91">IF(ISNONTEXT($V4),HD4+$V4,"")</f>
        <v>120.87142857142834</v>
      </c>
      <c r="HF4" s="33">
        <f t="shared" ref="HF4" si="92">IF(ISNONTEXT($V4),HE4+$V4,"")</f>
        <v>121.17999999999977</v>
      </c>
      <c r="HG4" s="33">
        <f t="shared" ref="HG4" si="93">IF(ISNONTEXT($V4),HF4+$V4,"")</f>
        <v>121.48857142857119</v>
      </c>
      <c r="HH4" s="33">
        <f t="shared" ref="HH4" si="94">IF(ISNONTEXT($V4),HG4+$V4,"")</f>
        <v>121.79714285714262</v>
      </c>
      <c r="HI4" s="33">
        <f t="shared" ref="HI4" si="95">IF(ISNONTEXT($V4),HH4+$V4,"")</f>
        <v>122.10571428571404</v>
      </c>
      <c r="HJ4" s="33">
        <f t="shared" ref="HJ4" si="96">IF(ISNONTEXT($V4),HI4+$V4,"")</f>
        <v>122.41428571428547</v>
      </c>
      <c r="HK4" s="33">
        <f t="shared" ref="HK4" si="97">IF(ISNONTEXT($V4),HJ4+$V4,"")</f>
        <v>122.7228571428569</v>
      </c>
      <c r="HL4" s="33">
        <f t="shared" ref="HL4" si="98">IF(ISNONTEXT($V4),HK4+$V4,"")</f>
        <v>123.03142857142832</v>
      </c>
      <c r="HM4" s="33">
        <f t="shared" ref="HM4" si="99">IF(ISNONTEXT($V4),HL4+$V4,"")</f>
        <v>123.33999999999975</v>
      </c>
      <c r="HN4" s="33">
        <f t="shared" ref="HN4" si="100">IF(ISNONTEXT($V4),HM4+$V4,"")</f>
        <v>123.64857142857117</v>
      </c>
      <c r="HO4" s="33">
        <f t="shared" ref="HO4" si="101">IF(ISNONTEXT($V4),HN4+$V4,"")</f>
        <v>123.9571428571426</v>
      </c>
      <c r="HP4" s="77">
        <f t="shared" ref="HP4:KA4" si="102">IF(ISNONTEXT($K4),_xlfn.NORM.DIST(W4,$G4,$K4,FALSE),NA())</f>
        <v>2.0000009907544015E-5</v>
      </c>
      <c r="HQ4" s="77">
        <f t="shared" si="102"/>
        <v>2.3476903931326837E-5</v>
      </c>
      <c r="HR4" s="77">
        <f t="shared" si="102"/>
        <v>2.7512845421374587E-5</v>
      </c>
      <c r="HS4" s="77">
        <f t="shared" si="102"/>
        <v>3.2189502662828577E-5</v>
      </c>
      <c r="HT4" s="77">
        <f t="shared" si="102"/>
        <v>3.7599069634528677E-5</v>
      </c>
      <c r="HU4" s="77">
        <f t="shared" si="102"/>
        <v>4.3845396719074988E-5</v>
      </c>
      <c r="HV4" s="77">
        <f t="shared" si="102"/>
        <v>5.1045208557999907E-5</v>
      </c>
      <c r="HW4" s="77">
        <f t="shared" si="102"/>
        <v>5.9329410676536208E-5</v>
      </c>
      <c r="HX4" s="77">
        <f t="shared" si="102"/>
        <v>6.8844485668262829E-5</v>
      </c>
      <c r="HY4" s="77">
        <f t="shared" si="102"/>
        <v>7.9753978746045277E-5</v>
      </c>
      <c r="HZ4" s="77">
        <f t="shared" si="102"/>
        <v>9.2240071323206602E-5</v>
      </c>
      <c r="IA4" s="77">
        <f t="shared" si="102"/>
        <v>1.065052399801522E-4</v>
      </c>
      <c r="IB4" s="77">
        <f t="shared" si="102"/>
        <v>1.2277399669084158E-4</v>
      </c>
      <c r="IC4" s="77">
        <f t="shared" si="102"/>
        <v>1.4129470452675329E-4</v>
      </c>
      <c r="ID4" s="77">
        <f t="shared" si="102"/>
        <v>1.6234146122205256E-4</v>
      </c>
      <c r="IE4" s="77">
        <f t="shared" si="102"/>
        <v>1.8621604097422158E-4</v>
      </c>
      <c r="IF4" s="77">
        <f t="shared" si="102"/>
        <v>2.132498826744421E-4</v>
      </c>
      <c r="IG4" s="77">
        <f t="shared" si="102"/>
        <v>2.438061104203503E-4</v>
      </c>
      <c r="IH4" s="77">
        <f t="shared" si="102"/>
        <v>2.7828156967339284E-4</v>
      </c>
      <c r="II4" s="77">
        <f t="shared" si="102"/>
        <v>3.1710885980139238E-4</v>
      </c>
      <c r="IJ4" s="77">
        <f t="shared" si="102"/>
        <v>3.6075834101656251E-4</v>
      </c>
      <c r="IK4" s="77">
        <f t="shared" si="102"/>
        <v>4.0974009090758692E-4</v>
      </c>
      <c r="IL4" s="77">
        <f t="shared" si="102"/>
        <v>4.6460578290454153E-4</v>
      </c>
      <c r="IM4" s="77">
        <f t="shared" si="102"/>
        <v>5.2595045614576739E-4</v>
      </c>
      <c r="IN4" s="77">
        <f t="shared" si="102"/>
        <v>5.9441414338031004E-4</v>
      </c>
      <c r="IO4" s="77">
        <f t="shared" si="102"/>
        <v>6.7068332078768563E-4</v>
      </c>
      <c r="IP4" s="77">
        <f t="shared" si="102"/>
        <v>7.554921409831135E-4</v>
      </c>
      <c r="IQ4" s="77">
        <f t="shared" si="102"/>
        <v>8.4962340806056232E-4</v>
      </c>
      <c r="IR4" s="77">
        <f t="shared" si="102"/>
        <v>9.5390925137197441E-4</v>
      </c>
      <c r="IS4" s="77">
        <f t="shared" si="102"/>
        <v>1.0692314529164176E-3</v>
      </c>
      <c r="IT4" s="77">
        <f t="shared" si="102"/>
        <v>1.196521381788374E-3</v>
      </c>
      <c r="IU4" s="77">
        <f t="shared" si="102"/>
        <v>1.336759488182405E-3</v>
      </c>
      <c r="IV4" s="77">
        <f t="shared" si="102"/>
        <v>1.4909743090452821E-3</v>
      </c>
      <c r="IW4" s="77">
        <f t="shared" si="102"/>
        <v>1.6602409376791593E-3</v>
      </c>
      <c r="IX4" s="77">
        <f t="shared" si="102"/>
        <v>1.84567891050134E-3</v>
      </c>
      <c r="IY4" s="77">
        <f t="shared" si="102"/>
        <v>2.0484494658247229E-3</v>
      </c>
      <c r="IZ4" s="77">
        <f t="shared" si="102"/>
        <v>2.269752132000188E-3</v>
      </c>
      <c r="JA4" s="77">
        <f t="shared" si="102"/>
        <v>2.5108206056126993E-3</v>
      </c>
      <c r="JB4" s="77">
        <f t="shared" si="102"/>
        <v>2.7729178846928708E-3</v>
      </c>
      <c r="JC4" s="77">
        <f t="shared" si="102"/>
        <v>3.057330627129976E-3</v>
      </c>
      <c r="JD4" s="77">
        <f t="shared" si="102"/>
        <v>3.3653627106735142E-3</v>
      </c>
      <c r="JE4" s="77">
        <f t="shared" si="102"/>
        <v>3.6983279780963712E-3</v>
      </c>
      <c r="JF4" s="77">
        <f t="shared" si="102"/>
        <v>4.0575421592548688E-3</v>
      </c>
      <c r="JG4" s="77">
        <f t="shared" si="102"/>
        <v>4.4443139708937648E-3</v>
      </c>
      <c r="JH4" s="77">
        <f t="shared" si="102"/>
        <v>4.8599354050624733E-3</v>
      </c>
      <c r="JI4" s="77">
        <f t="shared" si="102"/>
        <v>5.3056712278669515E-3</v>
      </c>
      <c r="JJ4" s="77">
        <f t="shared" si="102"/>
        <v>5.7827477218938819E-3</v>
      </c>
      <c r="JK4" s="77">
        <f t="shared" si="102"/>
        <v>6.2923407179025581E-3</v>
      </c>
      <c r="JL4" s="77">
        <f t="shared" si="102"/>
        <v>6.8355629741559641E-3</v>
      </c>
      <c r="JM4" s="77">
        <f t="shared" si="102"/>
        <v>7.4134509749066175E-3</v>
      </c>
      <c r="JN4" s="77">
        <f t="shared" si="102"/>
        <v>8.0269512328946732E-3</v>
      </c>
      <c r="JO4" s="77">
        <f t="shared" si="102"/>
        <v>8.6769061940672777E-3</v>
      </c>
      <c r="JP4" s="77">
        <f t="shared" si="102"/>
        <v>9.3640398558835925E-3</v>
      </c>
      <c r="JQ4" s="77">
        <f t="shared" si="102"/>
        <v>1.0088943223310453E-2</v>
      </c>
      <c r="JR4" s="77">
        <f t="shared" si="102"/>
        <v>1.0852059738707428E-2</v>
      </c>
      <c r="JS4" s="77">
        <f t="shared" si="102"/>
        <v>1.1653670833008625E-2</v>
      </c>
      <c r="JT4" s="77">
        <f t="shared" si="102"/>
        <v>1.2493881755688763E-2</v>
      </c>
      <c r="JU4" s="77">
        <f t="shared" si="102"/>
        <v>1.337260784970907E-2</v>
      </c>
      <c r="JV4" s="77">
        <f t="shared" si="102"/>
        <v>1.4289561444736636E-2</v>
      </c>
      <c r="JW4" s="77">
        <f t="shared" si="102"/>
        <v>1.5244239547189379E-2</v>
      </c>
      <c r="JX4" s="77">
        <f t="shared" si="102"/>
        <v>1.6235912508862894E-2</v>
      </c>
      <c r="JY4" s="77">
        <f t="shared" si="102"/>
        <v>1.7263613856850681E-2</v>
      </c>
      <c r="JZ4" s="77">
        <f t="shared" si="102"/>
        <v>1.8326131466004258E-2</v>
      </c>
      <c r="KA4" s="77">
        <f t="shared" si="102"/>
        <v>1.9422000251153357E-2</v>
      </c>
      <c r="KB4" s="77">
        <f t="shared" ref="KB4:MM4" si="103">IF(ISNONTEXT($K4),_xlfn.NORM.DIST(CI4,$G4,$K4,FALSE),NA())</f>
        <v>2.0549496549612318E-2</v>
      </c>
      <c r="KC4" s="77">
        <f t="shared" si="103"/>
        <v>2.1706634355067065E-2</v>
      </c>
      <c r="KD4" s="77">
        <f t="shared" si="103"/>
        <v>2.2891163551741724E-2</v>
      </c>
      <c r="KE4" s="77">
        <f t="shared" si="103"/>
        <v>2.4100570282803404E-2</v>
      </c>
      <c r="KF4" s="77">
        <f t="shared" si="103"/>
        <v>2.5332079569342848E-2</v>
      </c>
      <c r="KG4" s="77">
        <f t="shared" si="103"/>
        <v>2.6582660276084445E-2</v>
      </c>
      <c r="KH4" s="77">
        <f t="shared" si="103"/>
        <v>2.7849032497394691E-2</v>
      </c>
      <c r="KI4" s="77">
        <f t="shared" si="103"/>
        <v>2.9127677412388572E-2</v>
      </c>
      <c r="KJ4" s="77">
        <f t="shared" si="103"/>
        <v>3.0414849631242042E-2</v>
      </c>
      <c r="KK4" s="77">
        <f t="shared" si="103"/>
        <v>3.1706592026511896E-2</v>
      </c>
      <c r="KL4" s="77">
        <f t="shared" si="103"/>
        <v>3.2998753013695321E-2</v>
      </c>
      <c r="KM4" s="77">
        <f t="shared" si="103"/>
        <v>3.4287006214816736E-2</v>
      </c>
      <c r="KN4" s="77">
        <f t="shared" si="103"/>
        <v>3.5566872407931334E-2</v>
      </c>
      <c r="KO4" s="77">
        <f t="shared" si="103"/>
        <v>3.6833743634530972E-2</v>
      </c>
      <c r="KP4" s="77">
        <f t="shared" si="103"/>
        <v>3.8082909306393686E-2</v>
      </c>
      <c r="KQ4" s="77">
        <f t="shared" si="103"/>
        <v>3.9309584123912687E-2</v>
      </c>
      <c r="KR4" s="77">
        <f t="shared" si="103"/>
        <v>4.0508937589853154E-2</v>
      </c>
      <c r="KS4" s="77">
        <f t="shared" si="103"/>
        <v>4.1676124876292152E-2</v>
      </c>
      <c r="KT4" s="77">
        <f t="shared" si="103"/>
        <v>4.2806318778656406E-2</v>
      </c>
      <c r="KU4" s="77">
        <f t="shared" si="103"/>
        <v>4.3894742469723275E-2</v>
      </c>
      <c r="KV4" s="77">
        <f t="shared" si="103"/>
        <v>4.4936702748593266E-2</v>
      </c>
      <c r="KW4" s="77">
        <f t="shared" si="103"/>
        <v>4.5927623465342765E-2</v>
      </c>
      <c r="KX4" s="77">
        <f t="shared" si="103"/>
        <v>4.6863078791635607E-2</v>
      </c>
      <c r="KY4" s="77">
        <f t="shared" si="103"/>
        <v>4.7738826001270496E-2</v>
      </c>
      <c r="KZ4" s="77">
        <f t="shared" si="103"/>
        <v>4.8550837422663334E-2</v>
      </c>
      <c r="LA4" s="77">
        <f t="shared" si="103"/>
        <v>4.929533122773825E-2</v>
      </c>
      <c r="LB4" s="77">
        <f t="shared" si="103"/>
        <v>4.9968800728685203E-2</v>
      </c>
      <c r="LC4" s="77">
        <f t="shared" si="103"/>
        <v>5.0568041865519421E-2</v>
      </c>
      <c r="LD4" s="77">
        <f t="shared" si="103"/>
        <v>5.1090178583257422E-2</v>
      </c>
      <c r="LE4" s="77">
        <f t="shared" si="103"/>
        <v>5.1532685817640346E-2</v>
      </c>
      <c r="LF4" s="77">
        <f t="shared" si="103"/>
        <v>5.1893409832448098E-2</v>
      </c>
      <c r="LG4" s="77">
        <f t="shared" si="103"/>
        <v>5.2170585679251966E-2</v>
      </c>
      <c r="LH4" s="77">
        <f t="shared" si="103"/>
        <v>5.2362851581573083E-2</v>
      </c>
      <c r="LI4" s="77">
        <f t="shared" si="103"/>
        <v>5.2469260079421542E-2</v>
      </c>
      <c r="LJ4" s="77">
        <f t="shared" si="103"/>
        <v>5.2489285806600408E-2</v>
      </c>
      <c r="LK4" s="77">
        <f t="shared" si="103"/>
        <v>5.2422829811446865E-2</v>
      </c>
      <c r="LL4" s="77">
        <f t="shared" si="103"/>
        <v>5.2270220371289269E-2</v>
      </c>
      <c r="LM4" s="77">
        <f t="shared" si="103"/>
        <v>5.2032210291239785E-2</v>
      </c>
      <c r="LN4" s="77">
        <f t="shared" si="103"/>
        <v>5.1709970718423225E-2</v>
      </c>
      <c r="LO4" s="77">
        <f t="shared" si="103"/>
        <v>5.1305081542762282E-2</v>
      </c>
      <c r="LP4" s="77">
        <f t="shared" si="103"/>
        <v>5.0819518494409237E-2</v>
      </c>
      <c r="LQ4" s="77">
        <f t="shared" si="103"/>
        <v>5.0255637085260978E-2</v>
      </c>
      <c r="LR4" s="77">
        <f t="shared" si="103"/>
        <v>4.9616153577176345E-2</v>
      </c>
      <c r="LS4" s="77">
        <f t="shared" si="103"/>
        <v>4.8904123192028436E-2</v>
      </c>
      <c r="LT4" s="77">
        <f t="shared" si="103"/>
        <v>4.8122915808113544E-2</v>
      </c>
      <c r="LU4" s="77">
        <f t="shared" si="103"/>
        <v>4.7276189413302687E-2</v>
      </c>
      <c r="LV4" s="77">
        <f t="shared" si="103"/>
        <v>4.6367861607321807E-2</v>
      </c>
      <c r="LW4" s="77">
        <f t="shared" si="103"/>
        <v>4.540207946341257E-2</v>
      </c>
      <c r="LX4" s="77">
        <f t="shared" si="103"/>
        <v>4.438318807315729E-2</v>
      </c>
      <c r="LY4" s="77">
        <f t="shared" si="103"/>
        <v>4.3315698107321922E-2</v>
      </c>
      <c r="LZ4" s="77">
        <f t="shared" si="103"/>
        <v>4.2204252730131245E-2</v>
      </c>
      <c r="MA4" s="77">
        <f t="shared" si="103"/>
        <v>4.1053594204461696E-2</v>
      </c>
      <c r="MB4" s="77">
        <f t="shared" si="103"/>
        <v>3.9868530521117281E-2</v>
      </c>
      <c r="MC4" s="77">
        <f t="shared" si="103"/>
        <v>3.8653902376806805E-2</v>
      </c>
      <c r="MD4" s="77">
        <f t="shared" si="103"/>
        <v>3.7414550812896512E-2</v>
      </c>
      <c r="ME4" s="77">
        <f t="shared" si="103"/>
        <v>3.6155285810760121E-2</v>
      </c>
      <c r="MF4" s="77">
        <f t="shared" si="103"/>
        <v>3.4880856119928715E-2</v>
      </c>
      <c r="MG4" s="77">
        <f t="shared" si="103"/>
        <v>3.3595920572642081E-2</v>
      </c>
      <c r="MH4" s="77">
        <f t="shared" si="103"/>
        <v>3.2305021113243418E-2</v>
      </c>
      <c r="MI4" s="77">
        <f t="shared" si="103"/>
        <v>3.1012557743590421E-2</v>
      </c>
      <c r="MJ4" s="77">
        <f t="shared" si="103"/>
        <v>2.972276555674707E-2</v>
      </c>
      <c r="MK4" s="77">
        <f t="shared" si="103"/>
        <v>2.8439694001151178E-2</v>
      </c>
      <c r="ML4" s="77">
        <f t="shared" si="103"/>
        <v>2.7167188486702833E-2</v>
      </c>
      <c r="MM4" s="77">
        <f t="shared" si="103"/>
        <v>2.5908874413260823E-2</v>
      </c>
      <c r="MN4" s="77">
        <f t="shared" ref="MN4:OY4" si="104">IF(ISNONTEXT($K4),_xlfn.NORM.DIST(EU4,$G4,$K4,FALSE),NA())</f>
        <v>2.466814367132586E-2</v>
      </c>
      <c r="MO4" s="77">
        <f t="shared" si="104"/>
        <v>2.3448143634664045E-2</v>
      </c>
      <c r="MP4" s="77">
        <f t="shared" si="104"/>
        <v>2.2251768635687463E-2</v>
      </c>
      <c r="MQ4" s="77">
        <f t="shared" si="104"/>
        <v>2.1081653886927752E-2</v>
      </c>
      <c r="MR4" s="77">
        <f t="shared" si="104"/>
        <v>1.9940171786244524E-2</v>
      </c>
      <c r="MS4" s="77">
        <f t="shared" si="104"/>
        <v>1.8829430519784154E-2</v>
      </c>
      <c r="MT4" s="77">
        <f t="shared" si="104"/>
        <v>1.7751274855386037E-2</v>
      </c>
      <c r="MU4" s="77">
        <f t="shared" si="104"/>
        <v>1.6707289000308163E-2</v>
      </c>
      <c r="MV4" s="77">
        <f t="shared" si="104"/>
        <v>1.5698801380951501E-2</v>
      </c>
      <c r="MW4" s="77">
        <f t="shared" si="104"/>
        <v>1.4726891188791167E-2</v>
      </c>
      <c r="MX4" s="77">
        <f t="shared" si="104"/>
        <v>1.3792396526012033E-2</v>
      </c>
      <c r="MY4" s="77">
        <f t="shared" si="104"/>
        <v>1.2895923976390706E-2</v>
      </c>
      <c r="MZ4" s="77">
        <f t="shared" si="104"/>
        <v>1.2037859421715832E-2</v>
      </c>
      <c r="NA4" s="77">
        <f t="shared" si="104"/>
        <v>1.1218379921403206E-2</v>
      </c>
      <c r="NB4" s="77">
        <f t="shared" si="104"/>
        <v>1.0437466472816698E-2</v>
      </c>
      <c r="NC4" s="77">
        <f t="shared" si="104"/>
        <v>9.6949174719916376E-3</v>
      </c>
      <c r="ND4" s="77">
        <f t="shared" si="104"/>
        <v>8.9903626987905445E-3</v>
      </c>
      <c r="NE4" s="77">
        <f t="shared" si="104"/>
        <v>8.3232776567950719E-3</v>
      </c>
      <c r="NF4" s="77">
        <f t="shared" si="104"/>
        <v>7.6929981062300373E-3</v>
      </c>
      <c r="NG4" s="77">
        <f t="shared" si="104"/>
        <v>7.0987346376903378E-3</v>
      </c>
      <c r="NH4" s="77">
        <f t="shared" si="104"/>
        <v>6.5395871451580595E-3</v>
      </c>
      <c r="NI4" s="77">
        <f t="shared" si="104"/>
        <v>6.0145590685111681E-3</v>
      </c>
      <c r="NJ4" s="77">
        <f t="shared" si="104"/>
        <v>5.5225712881955529E-3</v>
      </c>
      <c r="NK4" s="77">
        <f t="shared" si="104"/>
        <v>5.0624755677235291E-3</v>
      </c>
      <c r="NL4" s="77">
        <f t="shared" si="104"/>
        <v>4.6330674529493111E-3</v>
      </c>
      <c r="NM4" s="77">
        <f t="shared" si="104"/>
        <v>4.2330985504425217E-3</v>
      </c>
      <c r="NN4" s="77">
        <f t="shared" si="104"/>
        <v>3.8612881205389578E-3</v>
      </c>
      <c r="NO4" s="77">
        <f t="shared" si="104"/>
        <v>3.5163339336141161E-3</v>
      </c>
      <c r="NP4" s="77">
        <f t="shared" si="104"/>
        <v>3.1969223506404985E-3</v>
      </c>
      <c r="NQ4" s="77">
        <f t="shared" si="104"/>
        <v>2.9017376010159516E-3</v>
      </c>
      <c r="NR4" s="77">
        <f t="shared" si="104"/>
        <v>2.6294702418695505E-3</v>
      </c>
      <c r="NS4" s="77">
        <f t="shared" si="104"/>
        <v>2.3788247934680164E-3</v>
      </c>
      <c r="NT4" s="77">
        <f t="shared" si="104"/>
        <v>2.148526554884319E-3</v>
      </c>
      <c r="NU4" s="77">
        <f t="shared" si="104"/>
        <v>1.93732761269686E-3</v>
      </c>
      <c r="NV4" s="77">
        <f t="shared" si="104"/>
        <v>1.7440120631276796E-3</v>
      </c>
      <c r="NW4" s="77">
        <f t="shared" si="104"/>
        <v>1.5674004746849769E-3</v>
      </c>
      <c r="NX4" s="77">
        <f t="shared" si="104"/>
        <v>1.4063536240499761E-3</v>
      </c>
      <c r="NY4" s="77">
        <f t="shared" si="104"/>
        <v>1.2597755426561801E-3</v>
      </c>
      <c r="NZ4" s="77">
        <f t="shared" si="104"/>
        <v>1.1266159151801754E-3</v>
      </c>
      <c r="OA4" s="77">
        <f t="shared" si="104"/>
        <v>1.0058718740383289E-3</v>
      </c>
      <c r="OB4" s="77">
        <f t="shared" si="104"/>
        <v>8.9658923601396569E-4</v>
      </c>
      <c r="OC4" s="77">
        <f t="shared" si="104"/>
        <v>7.9786322838373022E-4</v>
      </c>
      <c r="OD4" s="77">
        <f t="shared" si="104"/>
        <v>7.0883875243493407E-4</v>
      </c>
      <c r="OE4" s="77">
        <f t="shared" si="104"/>
        <v>6.287102321369969E-4</v>
      </c>
      <c r="OF4" s="77">
        <f t="shared" si="104"/>
        <v>5.5672109502165985E-4</v>
      </c>
      <c r="OG4" s="77">
        <f t="shared" si="104"/>
        <v>4.9216293111184418E-4</v>
      </c>
      <c r="OH4" s="77">
        <f t="shared" si="104"/>
        <v>4.3437437409067831E-4</v>
      </c>
      <c r="OI4" s="77">
        <f t="shared" si="104"/>
        <v>3.8273974689214703E-4</v>
      </c>
      <c r="OJ4" s="77">
        <f t="shared" si="104"/>
        <v>3.3668751159199854E-4</v>
      </c>
      <c r="OK4" s="77">
        <f t="shared" si="104"/>
        <v>2.9568856094785799E-4</v>
      </c>
      <c r="OL4" s="77">
        <f t="shared" si="104"/>
        <v>2.5925438624253047E-4</v>
      </c>
      <c r="OM4" s="77">
        <f t="shared" si="104"/>
        <v>2.26935153281225E-4</v>
      </c>
      <c r="ON4" s="77">
        <f t="shared" si="104"/>
        <v>1.9831771553379898E-4</v>
      </c>
      <c r="OO4" s="77">
        <f t="shared" si="104"/>
        <v>1.7302359054360765E-4</v>
      </c>
      <c r="OP4" s="77">
        <f t="shared" si="104"/>
        <v>1.5070692288616838E-4</v>
      </c>
      <c r="OQ4" s="77">
        <f t="shared" si="104"/>
        <v>1.3105245418911979E-4</v>
      </c>
      <c r="OR4" s="77">
        <f t="shared" si="104"/>
        <v>1.1377351804989074E-4</v>
      </c>
      <c r="OS4" s="77">
        <f t="shared" si="104"/>
        <v>9.861007513387962E-5</v>
      </c>
      <c r="OT4" s="77">
        <f t="shared" si="104"/>
        <v>8.5326801323543791E-5</v>
      </c>
      <c r="OU4" s="77">
        <f t="shared" si="104"/>
        <v>7.3711239532629869E-5</v>
      </c>
      <c r="OV4" s="77">
        <f t="shared" si="104"/>
        <v>6.3572023710536281E-5</v>
      </c>
      <c r="OW4" s="77">
        <f t="shared" si="104"/>
        <v>5.4737181646207341E-5</v>
      </c>
      <c r="OX4" s="77">
        <f t="shared" si="104"/>
        <v>4.7052521442168798E-5</v>
      </c>
      <c r="OY4" s="77">
        <f t="shared" si="104"/>
        <v>4.0380104967372349E-5</v>
      </c>
      <c r="OZ4" s="77">
        <f t="shared" ref="OZ4:PH4" si="105">IF(ISNONTEXT($K4),_xlfn.NORM.DIST(HG4,$G4,$K4,FALSE),NA())</f>
        <v>3.4596810209729343E-5</v>
      </c>
      <c r="PA4" s="77">
        <f t="shared" si="105"/>
        <v>2.9592983230630012E-5</v>
      </c>
      <c r="PB4" s="77">
        <f t="shared" si="105"/>
        <v>2.5271179367484406E-5</v>
      </c>
      <c r="PC4" s="77">
        <f t="shared" si="105"/>
        <v>2.1544992428013805E-5</v>
      </c>
      <c r="PD4" s="77">
        <f t="shared" si="105"/>
        <v>1.8337969862131877E-5</v>
      </c>
      <c r="PE4" s="77">
        <f t="shared" si="105"/>
        <v>1.5582611273403583E-5</v>
      </c>
      <c r="PF4" s="77">
        <f t="shared" si="105"/>
        <v>1.3219447131343812E-5</v>
      </c>
      <c r="PG4" s="77">
        <f t="shared" si="105"/>
        <v>1.1196194157025461E-5</v>
      </c>
      <c r="PH4" s="77">
        <f t="shared" si="105"/>
        <v>9.4669835663548798E-6</v>
      </c>
    </row>
    <row r="5" spans="1:425" hidden="1">
      <c r="A5" s="2"/>
      <c r="B5" s="61">
        <f>SUM(B4:B4)</f>
        <v>64</v>
      </c>
      <c r="C5" s="61">
        <f>SUM(C4:C4)</f>
        <v>93.1</v>
      </c>
      <c r="D5" s="61">
        <f>SUM(D4:D4)</f>
        <v>118</v>
      </c>
      <c r="E5" s="20"/>
      <c r="F5" s="20"/>
      <c r="G5" s="61">
        <f>SUM(G4:G4)</f>
        <v>92.399999999999991</v>
      </c>
      <c r="H5" s="3"/>
      <c r="I5" s="3"/>
      <c r="J5" s="62">
        <f>IF(K4="","",SQRT(L5))</f>
        <v>7.6</v>
      </c>
      <c r="K5" s="62"/>
      <c r="L5" s="52">
        <f>IF(L4="","",SUM(L4:L4))</f>
        <v>57.76</v>
      </c>
      <c r="M5" s="61" t="str">
        <f>IF(SUM(M4:M4)=0,"",SUM(M4:M4))</f>
        <v/>
      </c>
      <c r="N5" s="56" t="str">
        <f>IF(OR(J5="",M5=""),"",ABS(VLOOKUP($M$1,VLookups!$A$17:$B$18,2,FALSE)-_xlfn.NORM.DIST(M5,G5,J5,TRUE)))</f>
        <v/>
      </c>
      <c r="O5" s="63">
        <f t="shared" ref="O5:T5" si="106">SUM(O4:O4)</f>
        <v>82.660208101861031</v>
      </c>
      <c r="P5" s="63">
        <f t="shared" si="106"/>
        <v>102.13979189813895</v>
      </c>
      <c r="Q5" s="63">
        <f t="shared" si="106"/>
        <v>100.27689376015279</v>
      </c>
      <c r="R5" s="63">
        <f t="shared" si="106"/>
        <v>98.79632137515415</v>
      </c>
      <c r="S5" s="63">
        <f t="shared" si="106"/>
        <v>97.526122101490216</v>
      </c>
      <c r="T5" s="63">
        <f t="shared" si="106"/>
        <v>96.385443896581108</v>
      </c>
      <c r="U5" s="3"/>
    </row>
    <row r="6" spans="1:425" hidden="1">
      <c r="A6" s="2"/>
      <c r="B6" s="3"/>
      <c r="C6" s="3"/>
      <c r="D6" s="3"/>
      <c r="E6" s="2"/>
      <c r="F6" s="2"/>
      <c r="G6" s="3"/>
      <c r="H6" s="2"/>
      <c r="I6" s="2"/>
      <c r="J6" s="2"/>
      <c r="K6" s="2"/>
      <c r="L6" s="2"/>
      <c r="M6" s="8"/>
      <c r="N6" s="3"/>
      <c r="O6" s="18"/>
      <c r="P6" s="18"/>
      <c r="Q6" s="18"/>
      <c r="R6" s="18"/>
      <c r="S6" s="18"/>
      <c r="T6" s="18"/>
      <c r="U6" s="3"/>
    </row>
    <row r="7" spans="1:425" ht="15.75" hidden="1">
      <c r="A7" s="3"/>
      <c r="B7" s="233" t="s">
        <v>37</v>
      </c>
      <c r="C7" s="234"/>
      <c r="D7" s="235"/>
      <c r="E7" s="3"/>
      <c r="F7" s="3"/>
      <c r="G7" s="146">
        <f>DATE(YEAR(B9),1,1)</f>
        <v>46023</v>
      </c>
      <c r="H7" s="3"/>
      <c r="I7" s="3"/>
      <c r="J7" s="17" t="s">
        <v>44</v>
      </c>
      <c r="K7" s="17"/>
      <c r="L7" s="17"/>
      <c r="M7" s="65">
        <v>1000</v>
      </c>
      <c r="N7" s="24">
        <f>IF(OR(J5="",M7=""),"",ABS(VLOOKUP($M$1,VLookups!$A$17:$B$18,2,FALSE)-_xlfn.NORM.DIST(M7,G5,J5,TRUE)))</f>
        <v>1</v>
      </c>
      <c r="O7" s="46">
        <f>IF($J$5="","",_xlfn.NORM.INV(ABS(VLOOKUP($M$1,VLookups!$A$17:$B$18,2,FALSE)-O$3),$G$5,$J5))</f>
        <v>82.660208101861031</v>
      </c>
      <c r="P7" s="47">
        <f>IF($J$5="","",_xlfn.NORM.INV(ABS(VLOOKUP($M$1,VLookups!$A$17:$B$18,2,FALSE)-P$3),$G$5,$J5))</f>
        <v>102.13979189813895</v>
      </c>
      <c r="Q7" s="48">
        <f>IF($J$5="","",_xlfn.NORM.INV(ABS(VLOOKUP($M$1,VLookups!$A$17:$B$18,2,FALSE)-Q$3),$G$5,$J5))</f>
        <v>100.27689376015279</v>
      </c>
      <c r="R7" s="49">
        <f>IF($J$5="","",_xlfn.NORM.INV(ABS(VLOOKUP($M$1,VLookups!$A$17:$B$18,2,FALSE)-R$3),$G$5,$J5))</f>
        <v>98.79632137515415</v>
      </c>
      <c r="S7" s="50">
        <f>IF($J$5="","",_xlfn.NORM.INV(ABS(VLOOKUP($M$1,VLookups!$A$17:$B$18,2,FALSE)-S$3),$G$5,$J5))</f>
        <v>97.526122101490216</v>
      </c>
      <c r="T7" s="51">
        <f>IF($J$5="","",_xlfn.NORM.INV(ABS(VLOOKUP($M$1,VLookups!$A$17:$B$18,2,FALSE)-T$3),$G$5,$J5))</f>
        <v>96.385443896581108</v>
      </c>
      <c r="U7" s="3"/>
    </row>
    <row r="8" spans="1:425" ht="14.65" thickBot="1">
      <c r="A8" s="3"/>
      <c r="B8" s="3"/>
      <c r="C8" s="3"/>
      <c r="D8" s="3"/>
      <c r="E8" s="2"/>
      <c r="F8" s="2"/>
      <c r="G8" s="3"/>
      <c r="H8" s="145" t="s">
        <v>631</v>
      </c>
      <c r="I8" s="3"/>
      <c r="J8" s="3"/>
      <c r="K8" s="3"/>
      <c r="L8" s="3"/>
      <c r="M8" s="3"/>
      <c r="N8" s="3"/>
      <c r="O8" s="3"/>
      <c r="P8" s="3"/>
      <c r="Q8" s="3"/>
      <c r="R8" s="3"/>
      <c r="S8" s="3"/>
      <c r="T8" s="3"/>
      <c r="U8" s="3"/>
      <c r="HP8" s="99">
        <f t="shared" ref="HP8:KA8" si="107">IF(AND($D$21&gt;0,$D$22&gt;0),IF(OR(W4&lt;$D$21,W4=$D$21),HP4,0),"")</f>
        <v>2.0000009907544015E-5</v>
      </c>
      <c r="HQ8" s="99">
        <f t="shared" si="107"/>
        <v>2.3476903931326837E-5</v>
      </c>
      <c r="HR8" s="99">
        <f t="shared" si="107"/>
        <v>2.7512845421374587E-5</v>
      </c>
      <c r="HS8" s="99">
        <f t="shared" si="107"/>
        <v>3.2189502662828577E-5</v>
      </c>
      <c r="HT8" s="99">
        <f t="shared" si="107"/>
        <v>3.7599069634528677E-5</v>
      </c>
      <c r="HU8" s="99">
        <f t="shared" si="107"/>
        <v>4.3845396719074988E-5</v>
      </c>
      <c r="HV8" s="99">
        <f t="shared" si="107"/>
        <v>5.1045208557999907E-5</v>
      </c>
      <c r="HW8" s="99">
        <f t="shared" si="107"/>
        <v>5.9329410676536208E-5</v>
      </c>
      <c r="HX8" s="99">
        <f t="shared" si="107"/>
        <v>6.8844485668262829E-5</v>
      </c>
      <c r="HY8" s="99">
        <f t="shared" si="107"/>
        <v>7.9753978746045277E-5</v>
      </c>
      <c r="HZ8" s="99">
        <f t="shared" si="107"/>
        <v>9.2240071323206602E-5</v>
      </c>
      <c r="IA8" s="99">
        <f t="shared" si="107"/>
        <v>1.065052399801522E-4</v>
      </c>
      <c r="IB8" s="99">
        <f t="shared" si="107"/>
        <v>1.2277399669084158E-4</v>
      </c>
      <c r="IC8" s="99">
        <f t="shared" si="107"/>
        <v>1.4129470452675329E-4</v>
      </c>
      <c r="ID8" s="99">
        <f t="shared" si="107"/>
        <v>1.6234146122205256E-4</v>
      </c>
      <c r="IE8" s="99">
        <f t="shared" si="107"/>
        <v>1.8621604097422158E-4</v>
      </c>
      <c r="IF8" s="99">
        <f t="shared" si="107"/>
        <v>2.132498826744421E-4</v>
      </c>
      <c r="IG8" s="99">
        <f t="shared" si="107"/>
        <v>2.438061104203503E-4</v>
      </c>
      <c r="IH8" s="99">
        <f t="shared" si="107"/>
        <v>2.7828156967339284E-4</v>
      </c>
      <c r="II8" s="99">
        <f t="shared" si="107"/>
        <v>3.1710885980139238E-4</v>
      </c>
      <c r="IJ8" s="99">
        <f t="shared" si="107"/>
        <v>3.6075834101656251E-4</v>
      </c>
      <c r="IK8" s="99">
        <f t="shared" si="107"/>
        <v>4.0974009090758692E-4</v>
      </c>
      <c r="IL8" s="99">
        <f t="shared" si="107"/>
        <v>4.6460578290454153E-4</v>
      </c>
      <c r="IM8" s="99">
        <f t="shared" si="107"/>
        <v>5.2595045614576739E-4</v>
      </c>
      <c r="IN8" s="99">
        <f t="shared" si="107"/>
        <v>5.9441414338031004E-4</v>
      </c>
      <c r="IO8" s="99">
        <f t="shared" si="107"/>
        <v>6.7068332078768563E-4</v>
      </c>
      <c r="IP8" s="99">
        <f t="shared" si="107"/>
        <v>7.554921409831135E-4</v>
      </c>
      <c r="IQ8" s="99">
        <f t="shared" si="107"/>
        <v>8.4962340806056232E-4</v>
      </c>
      <c r="IR8" s="99">
        <f t="shared" si="107"/>
        <v>9.5390925137197441E-4</v>
      </c>
      <c r="IS8" s="99">
        <f t="shared" si="107"/>
        <v>1.0692314529164176E-3</v>
      </c>
      <c r="IT8" s="99">
        <f t="shared" si="107"/>
        <v>1.196521381788374E-3</v>
      </c>
      <c r="IU8" s="99">
        <f t="shared" si="107"/>
        <v>1.336759488182405E-3</v>
      </c>
      <c r="IV8" s="99">
        <f t="shared" si="107"/>
        <v>1.4909743090452821E-3</v>
      </c>
      <c r="IW8" s="99">
        <f t="shared" si="107"/>
        <v>1.6602409376791593E-3</v>
      </c>
      <c r="IX8" s="99">
        <f t="shared" si="107"/>
        <v>1.84567891050134E-3</v>
      </c>
      <c r="IY8" s="99">
        <f t="shared" si="107"/>
        <v>2.0484494658247229E-3</v>
      </c>
      <c r="IZ8" s="99">
        <f t="shared" si="107"/>
        <v>2.269752132000188E-3</v>
      </c>
      <c r="JA8" s="99">
        <f t="shared" si="107"/>
        <v>2.5108206056126993E-3</v>
      </c>
      <c r="JB8" s="99">
        <f t="shared" si="107"/>
        <v>2.7729178846928708E-3</v>
      </c>
      <c r="JC8" s="99">
        <f t="shared" si="107"/>
        <v>3.057330627129976E-3</v>
      </c>
      <c r="JD8" s="99">
        <f t="shared" si="107"/>
        <v>3.3653627106735142E-3</v>
      </c>
      <c r="JE8" s="99">
        <f t="shared" si="107"/>
        <v>3.6983279780963712E-3</v>
      </c>
      <c r="JF8" s="99">
        <f t="shared" si="107"/>
        <v>4.0575421592548688E-3</v>
      </c>
      <c r="JG8" s="99">
        <f t="shared" si="107"/>
        <v>4.4443139708937648E-3</v>
      </c>
      <c r="JH8" s="99">
        <f t="shared" si="107"/>
        <v>4.8599354050624733E-3</v>
      </c>
      <c r="JI8" s="99">
        <f t="shared" si="107"/>
        <v>5.3056712278669515E-3</v>
      </c>
      <c r="JJ8" s="99">
        <f t="shared" si="107"/>
        <v>5.7827477218938819E-3</v>
      </c>
      <c r="JK8" s="99">
        <f t="shared" si="107"/>
        <v>6.2923407179025581E-3</v>
      </c>
      <c r="JL8" s="99">
        <f t="shared" si="107"/>
        <v>6.8355629741559641E-3</v>
      </c>
      <c r="JM8" s="99">
        <f t="shared" si="107"/>
        <v>7.4134509749066175E-3</v>
      </c>
      <c r="JN8" s="99">
        <f t="shared" si="107"/>
        <v>8.0269512328946732E-3</v>
      </c>
      <c r="JO8" s="99">
        <f t="shared" si="107"/>
        <v>8.6769061940672777E-3</v>
      </c>
      <c r="JP8" s="99">
        <f t="shared" si="107"/>
        <v>9.3640398558835925E-3</v>
      </c>
      <c r="JQ8" s="99">
        <f t="shared" si="107"/>
        <v>1.0088943223310453E-2</v>
      </c>
      <c r="JR8" s="99">
        <f t="shared" si="107"/>
        <v>1.0852059738707428E-2</v>
      </c>
      <c r="JS8" s="99">
        <f t="shared" si="107"/>
        <v>1.1653670833008625E-2</v>
      </c>
      <c r="JT8" s="99">
        <f t="shared" si="107"/>
        <v>1.2493881755688763E-2</v>
      </c>
      <c r="JU8" s="99">
        <f t="shared" si="107"/>
        <v>1.337260784970907E-2</v>
      </c>
      <c r="JV8" s="99">
        <f t="shared" si="107"/>
        <v>1.4289561444736636E-2</v>
      </c>
      <c r="JW8" s="99">
        <f t="shared" si="107"/>
        <v>1.5244239547189379E-2</v>
      </c>
      <c r="JX8" s="99">
        <f t="shared" si="107"/>
        <v>1.6235912508862894E-2</v>
      </c>
      <c r="JY8" s="99">
        <f t="shared" si="107"/>
        <v>1.7263613856850681E-2</v>
      </c>
      <c r="JZ8" s="99">
        <f t="shared" si="107"/>
        <v>1.8326131466004258E-2</v>
      </c>
      <c r="KA8" s="99">
        <f t="shared" si="107"/>
        <v>1.9422000251153357E-2</v>
      </c>
      <c r="KB8" s="99">
        <f t="shared" ref="KB8:MM8" si="108">IF(AND($D$21&gt;0,$D$22&gt;0),IF(OR(CI4&lt;$D$21,CI4=$D$21),KB4,0),"")</f>
        <v>2.0549496549612318E-2</v>
      </c>
      <c r="KC8" s="99">
        <f t="shared" si="108"/>
        <v>2.1706634355067065E-2</v>
      </c>
      <c r="KD8" s="99">
        <f t="shared" si="108"/>
        <v>2.2891163551741724E-2</v>
      </c>
      <c r="KE8" s="99">
        <f t="shared" si="108"/>
        <v>2.4100570282803404E-2</v>
      </c>
      <c r="KF8" s="99">
        <f t="shared" si="108"/>
        <v>2.5332079569342848E-2</v>
      </c>
      <c r="KG8" s="99">
        <f t="shared" si="108"/>
        <v>2.6582660276084445E-2</v>
      </c>
      <c r="KH8" s="99">
        <f t="shared" si="108"/>
        <v>2.7849032497394691E-2</v>
      </c>
      <c r="KI8" s="99">
        <f t="shared" si="108"/>
        <v>2.9127677412388572E-2</v>
      </c>
      <c r="KJ8" s="99">
        <f t="shared" si="108"/>
        <v>3.0414849631242042E-2</v>
      </c>
      <c r="KK8" s="99">
        <f t="shared" si="108"/>
        <v>3.1706592026511896E-2</v>
      </c>
      <c r="KL8" s="99">
        <f t="shared" si="108"/>
        <v>3.2998753013695321E-2</v>
      </c>
      <c r="KM8" s="99">
        <f t="shared" si="108"/>
        <v>3.4287006214816736E-2</v>
      </c>
      <c r="KN8" s="99">
        <f t="shared" si="108"/>
        <v>3.5566872407931334E-2</v>
      </c>
      <c r="KO8" s="99">
        <f t="shared" si="108"/>
        <v>3.6833743634530972E-2</v>
      </c>
      <c r="KP8" s="99">
        <f t="shared" si="108"/>
        <v>3.8082909306393686E-2</v>
      </c>
      <c r="KQ8" s="99">
        <f t="shared" si="108"/>
        <v>3.9309584123912687E-2</v>
      </c>
      <c r="KR8" s="99">
        <f t="shared" si="108"/>
        <v>4.0508937589853154E-2</v>
      </c>
      <c r="KS8" s="99">
        <f t="shared" si="108"/>
        <v>4.1676124876292152E-2</v>
      </c>
      <c r="KT8" s="99">
        <f t="shared" si="108"/>
        <v>4.2806318778656406E-2</v>
      </c>
      <c r="KU8" s="99">
        <f t="shared" si="108"/>
        <v>4.3894742469723275E-2</v>
      </c>
      <c r="KV8" s="99">
        <f t="shared" si="108"/>
        <v>4.4936702748593266E-2</v>
      </c>
      <c r="KW8" s="99">
        <f t="shared" si="108"/>
        <v>4.5927623465342765E-2</v>
      </c>
      <c r="KX8" s="99">
        <f t="shared" si="108"/>
        <v>4.6863078791635607E-2</v>
      </c>
      <c r="KY8" s="99">
        <f t="shared" si="108"/>
        <v>4.7738826001270496E-2</v>
      </c>
      <c r="KZ8" s="99">
        <f t="shared" si="108"/>
        <v>4.8550837422663334E-2</v>
      </c>
      <c r="LA8" s="99">
        <f t="shared" si="108"/>
        <v>4.929533122773825E-2</v>
      </c>
      <c r="LB8" s="99">
        <f t="shared" si="108"/>
        <v>0</v>
      </c>
      <c r="LC8" s="99">
        <f t="shared" si="108"/>
        <v>0</v>
      </c>
      <c r="LD8" s="99">
        <f t="shared" si="108"/>
        <v>0</v>
      </c>
      <c r="LE8" s="99">
        <f t="shared" si="108"/>
        <v>0</v>
      </c>
      <c r="LF8" s="99">
        <f t="shared" si="108"/>
        <v>0</v>
      </c>
      <c r="LG8" s="99">
        <f t="shared" si="108"/>
        <v>0</v>
      </c>
      <c r="LH8" s="99">
        <f t="shared" si="108"/>
        <v>0</v>
      </c>
      <c r="LI8" s="99">
        <f t="shared" si="108"/>
        <v>0</v>
      </c>
      <c r="LJ8" s="99">
        <f t="shared" si="108"/>
        <v>0</v>
      </c>
      <c r="LK8" s="99">
        <f t="shared" si="108"/>
        <v>0</v>
      </c>
      <c r="LL8" s="99">
        <f t="shared" si="108"/>
        <v>0</v>
      </c>
      <c r="LM8" s="99">
        <f t="shared" si="108"/>
        <v>0</v>
      </c>
      <c r="LN8" s="99">
        <f t="shared" si="108"/>
        <v>0</v>
      </c>
      <c r="LO8" s="99">
        <f t="shared" si="108"/>
        <v>0</v>
      </c>
      <c r="LP8" s="99">
        <f t="shared" si="108"/>
        <v>0</v>
      </c>
      <c r="LQ8" s="99">
        <f t="shared" si="108"/>
        <v>0</v>
      </c>
      <c r="LR8" s="99">
        <f t="shared" si="108"/>
        <v>0</v>
      </c>
      <c r="LS8" s="99">
        <f t="shared" si="108"/>
        <v>0</v>
      </c>
      <c r="LT8" s="99">
        <f t="shared" si="108"/>
        <v>0</v>
      </c>
      <c r="LU8" s="99">
        <f t="shared" si="108"/>
        <v>0</v>
      </c>
      <c r="LV8" s="99">
        <f t="shared" si="108"/>
        <v>0</v>
      </c>
      <c r="LW8" s="99">
        <f t="shared" si="108"/>
        <v>0</v>
      </c>
      <c r="LX8" s="99">
        <f t="shared" si="108"/>
        <v>0</v>
      </c>
      <c r="LY8" s="99">
        <f t="shared" si="108"/>
        <v>0</v>
      </c>
      <c r="LZ8" s="99">
        <f t="shared" si="108"/>
        <v>0</v>
      </c>
      <c r="MA8" s="99">
        <f t="shared" si="108"/>
        <v>0</v>
      </c>
      <c r="MB8" s="99">
        <f t="shared" si="108"/>
        <v>0</v>
      </c>
      <c r="MC8" s="99">
        <f t="shared" si="108"/>
        <v>0</v>
      </c>
      <c r="MD8" s="99">
        <f t="shared" si="108"/>
        <v>0</v>
      </c>
      <c r="ME8" s="99">
        <f t="shared" si="108"/>
        <v>0</v>
      </c>
      <c r="MF8" s="99">
        <f t="shared" si="108"/>
        <v>0</v>
      </c>
      <c r="MG8" s="99">
        <f t="shared" si="108"/>
        <v>0</v>
      </c>
      <c r="MH8" s="99">
        <f t="shared" si="108"/>
        <v>0</v>
      </c>
      <c r="MI8" s="99">
        <f t="shared" si="108"/>
        <v>0</v>
      </c>
      <c r="MJ8" s="99">
        <f t="shared" si="108"/>
        <v>0</v>
      </c>
      <c r="MK8" s="99">
        <f t="shared" si="108"/>
        <v>0</v>
      </c>
      <c r="ML8" s="99">
        <f t="shared" si="108"/>
        <v>0</v>
      </c>
      <c r="MM8" s="99">
        <f t="shared" si="108"/>
        <v>0</v>
      </c>
      <c r="MN8" s="99">
        <f t="shared" ref="MN8:OY8" si="109">IF(AND($D$21&gt;0,$D$22&gt;0),IF(OR(EU4&lt;$D$21,EU4=$D$21),MN4,0),"")</f>
        <v>0</v>
      </c>
      <c r="MO8" s="99">
        <f t="shared" si="109"/>
        <v>0</v>
      </c>
      <c r="MP8" s="99">
        <f t="shared" si="109"/>
        <v>0</v>
      </c>
      <c r="MQ8" s="99">
        <f t="shared" si="109"/>
        <v>0</v>
      </c>
      <c r="MR8" s="99">
        <f t="shared" si="109"/>
        <v>0</v>
      </c>
      <c r="MS8" s="99">
        <f t="shared" si="109"/>
        <v>0</v>
      </c>
      <c r="MT8" s="99">
        <f t="shared" si="109"/>
        <v>0</v>
      </c>
      <c r="MU8" s="99">
        <f t="shared" si="109"/>
        <v>0</v>
      </c>
      <c r="MV8" s="99">
        <f t="shared" si="109"/>
        <v>0</v>
      </c>
      <c r="MW8" s="99">
        <f t="shared" si="109"/>
        <v>0</v>
      </c>
      <c r="MX8" s="99">
        <f t="shared" si="109"/>
        <v>0</v>
      </c>
      <c r="MY8" s="99">
        <f t="shared" si="109"/>
        <v>0</v>
      </c>
      <c r="MZ8" s="99">
        <f t="shared" si="109"/>
        <v>0</v>
      </c>
      <c r="NA8" s="99">
        <f t="shared" si="109"/>
        <v>0</v>
      </c>
      <c r="NB8" s="99">
        <f t="shared" si="109"/>
        <v>0</v>
      </c>
      <c r="NC8" s="99">
        <f t="shared" si="109"/>
        <v>0</v>
      </c>
      <c r="ND8" s="99">
        <f t="shared" si="109"/>
        <v>0</v>
      </c>
      <c r="NE8" s="99">
        <f t="shared" si="109"/>
        <v>0</v>
      </c>
      <c r="NF8" s="99">
        <f t="shared" si="109"/>
        <v>0</v>
      </c>
      <c r="NG8" s="99">
        <f t="shared" si="109"/>
        <v>0</v>
      </c>
      <c r="NH8" s="99">
        <f t="shared" si="109"/>
        <v>0</v>
      </c>
      <c r="NI8" s="99">
        <f t="shared" si="109"/>
        <v>0</v>
      </c>
      <c r="NJ8" s="99">
        <f t="shared" si="109"/>
        <v>0</v>
      </c>
      <c r="NK8" s="99">
        <f t="shared" si="109"/>
        <v>0</v>
      </c>
      <c r="NL8" s="99">
        <f t="shared" si="109"/>
        <v>0</v>
      </c>
      <c r="NM8" s="99">
        <f t="shared" si="109"/>
        <v>0</v>
      </c>
      <c r="NN8" s="99">
        <f t="shared" si="109"/>
        <v>0</v>
      </c>
      <c r="NO8" s="99">
        <f t="shared" si="109"/>
        <v>0</v>
      </c>
      <c r="NP8" s="99">
        <f t="shared" si="109"/>
        <v>0</v>
      </c>
      <c r="NQ8" s="99">
        <f t="shared" si="109"/>
        <v>0</v>
      </c>
      <c r="NR8" s="99">
        <f t="shared" si="109"/>
        <v>0</v>
      </c>
      <c r="NS8" s="99">
        <f t="shared" si="109"/>
        <v>0</v>
      </c>
      <c r="NT8" s="99">
        <f t="shared" si="109"/>
        <v>0</v>
      </c>
      <c r="NU8" s="99">
        <f t="shared" si="109"/>
        <v>0</v>
      </c>
      <c r="NV8" s="99">
        <f t="shared" si="109"/>
        <v>0</v>
      </c>
      <c r="NW8" s="99">
        <f t="shared" si="109"/>
        <v>0</v>
      </c>
      <c r="NX8" s="99">
        <f t="shared" si="109"/>
        <v>0</v>
      </c>
      <c r="NY8" s="99">
        <f t="shared" si="109"/>
        <v>0</v>
      </c>
      <c r="NZ8" s="99">
        <f t="shared" si="109"/>
        <v>0</v>
      </c>
      <c r="OA8" s="99">
        <f t="shared" si="109"/>
        <v>0</v>
      </c>
      <c r="OB8" s="99">
        <f t="shared" si="109"/>
        <v>0</v>
      </c>
      <c r="OC8" s="99">
        <f t="shared" si="109"/>
        <v>0</v>
      </c>
      <c r="OD8" s="99">
        <f t="shared" si="109"/>
        <v>0</v>
      </c>
      <c r="OE8" s="99">
        <f t="shared" si="109"/>
        <v>0</v>
      </c>
      <c r="OF8" s="99">
        <f t="shared" si="109"/>
        <v>0</v>
      </c>
      <c r="OG8" s="99">
        <f t="shared" si="109"/>
        <v>0</v>
      </c>
      <c r="OH8" s="99">
        <f t="shared" si="109"/>
        <v>0</v>
      </c>
      <c r="OI8" s="99">
        <f t="shared" si="109"/>
        <v>0</v>
      </c>
      <c r="OJ8" s="99">
        <f t="shared" si="109"/>
        <v>0</v>
      </c>
      <c r="OK8" s="99">
        <f t="shared" si="109"/>
        <v>0</v>
      </c>
      <c r="OL8" s="99">
        <f t="shared" si="109"/>
        <v>0</v>
      </c>
      <c r="OM8" s="99">
        <f t="shared" si="109"/>
        <v>0</v>
      </c>
      <c r="ON8" s="99">
        <f t="shared" si="109"/>
        <v>0</v>
      </c>
      <c r="OO8" s="99">
        <f t="shared" si="109"/>
        <v>0</v>
      </c>
      <c r="OP8" s="99">
        <f t="shared" si="109"/>
        <v>0</v>
      </c>
      <c r="OQ8" s="99">
        <f t="shared" si="109"/>
        <v>0</v>
      </c>
      <c r="OR8" s="99">
        <f t="shared" si="109"/>
        <v>0</v>
      </c>
      <c r="OS8" s="99">
        <f t="shared" si="109"/>
        <v>0</v>
      </c>
      <c r="OT8" s="99">
        <f t="shared" si="109"/>
        <v>0</v>
      </c>
      <c r="OU8" s="99">
        <f t="shared" si="109"/>
        <v>0</v>
      </c>
      <c r="OV8" s="99">
        <f t="shared" si="109"/>
        <v>0</v>
      </c>
      <c r="OW8" s="99">
        <f t="shared" si="109"/>
        <v>0</v>
      </c>
      <c r="OX8" s="99">
        <f t="shared" si="109"/>
        <v>0</v>
      </c>
      <c r="OY8" s="99">
        <f t="shared" si="109"/>
        <v>0</v>
      </c>
      <c r="OZ8" s="99">
        <f t="shared" ref="OZ8:PH8" si="110">IF(AND($D$21&gt;0,$D$22&gt;0),IF(OR(HG4&lt;$D$21,HG4=$D$21),OZ4,0),"")</f>
        <v>0</v>
      </c>
      <c r="PA8" s="99">
        <f t="shared" si="110"/>
        <v>0</v>
      </c>
      <c r="PB8" s="99">
        <f t="shared" si="110"/>
        <v>0</v>
      </c>
      <c r="PC8" s="99">
        <f t="shared" si="110"/>
        <v>0</v>
      </c>
      <c r="PD8" s="99">
        <f t="shared" si="110"/>
        <v>0</v>
      </c>
      <c r="PE8" s="99">
        <f t="shared" si="110"/>
        <v>0</v>
      </c>
      <c r="PF8" s="99">
        <f t="shared" si="110"/>
        <v>0</v>
      </c>
      <c r="PG8" s="99">
        <f t="shared" si="110"/>
        <v>0</v>
      </c>
      <c r="PH8" s="99">
        <f t="shared" si="110"/>
        <v>0</v>
      </c>
    </row>
    <row r="9" spans="1:425" ht="18.5" customHeight="1">
      <c r="A9" s="160" t="s">
        <v>632</v>
      </c>
      <c r="B9" s="161">
        <v>46112</v>
      </c>
      <c r="C9" s="162" t="s">
        <v>639</v>
      </c>
      <c r="D9" s="163">
        <f>(B9-$G$7)+1</f>
        <v>90</v>
      </c>
      <c r="G9" s="38" t="s">
        <v>636</v>
      </c>
      <c r="H9" s="3"/>
      <c r="I9" s="3"/>
      <c r="J9" s="3"/>
      <c r="K9" s="3"/>
      <c r="L9" s="3"/>
      <c r="M9" s="3"/>
      <c r="N9" s="3"/>
      <c r="O9" s="3"/>
      <c r="P9" s="3"/>
      <c r="Q9" s="3"/>
      <c r="R9" s="3"/>
      <c r="S9" s="3"/>
      <c r="T9" s="3"/>
      <c r="U9" s="3"/>
      <c r="HP9" s="99">
        <f t="shared" ref="HP9:KA9" si="111">IF(AND($D$21&gt;0,$D$22&gt;0),IF(AND(W4&gt;$D$21,OR(W4&lt;$D$22,W4=$D$22)),HP4,0),"")</f>
        <v>0</v>
      </c>
      <c r="HQ9" s="99">
        <f t="shared" si="111"/>
        <v>0</v>
      </c>
      <c r="HR9" s="99">
        <f t="shared" si="111"/>
        <v>0</v>
      </c>
      <c r="HS9" s="99">
        <f t="shared" si="111"/>
        <v>0</v>
      </c>
      <c r="HT9" s="99">
        <f t="shared" si="111"/>
        <v>0</v>
      </c>
      <c r="HU9" s="99">
        <f t="shared" si="111"/>
        <v>0</v>
      </c>
      <c r="HV9" s="99">
        <f t="shared" si="111"/>
        <v>0</v>
      </c>
      <c r="HW9" s="99">
        <f t="shared" si="111"/>
        <v>0</v>
      </c>
      <c r="HX9" s="99">
        <f t="shared" si="111"/>
        <v>0</v>
      </c>
      <c r="HY9" s="99">
        <f t="shared" si="111"/>
        <v>0</v>
      </c>
      <c r="HZ9" s="99">
        <f t="shared" si="111"/>
        <v>0</v>
      </c>
      <c r="IA9" s="99">
        <f t="shared" si="111"/>
        <v>0</v>
      </c>
      <c r="IB9" s="99">
        <f t="shared" si="111"/>
        <v>0</v>
      </c>
      <c r="IC9" s="99">
        <f t="shared" si="111"/>
        <v>0</v>
      </c>
      <c r="ID9" s="99">
        <f t="shared" si="111"/>
        <v>0</v>
      </c>
      <c r="IE9" s="99">
        <f t="shared" si="111"/>
        <v>0</v>
      </c>
      <c r="IF9" s="99">
        <f t="shared" si="111"/>
        <v>0</v>
      </c>
      <c r="IG9" s="99">
        <f t="shared" si="111"/>
        <v>0</v>
      </c>
      <c r="IH9" s="99">
        <f t="shared" si="111"/>
        <v>0</v>
      </c>
      <c r="II9" s="99">
        <f t="shared" si="111"/>
        <v>0</v>
      </c>
      <c r="IJ9" s="99">
        <f t="shared" si="111"/>
        <v>0</v>
      </c>
      <c r="IK9" s="99">
        <f t="shared" si="111"/>
        <v>0</v>
      </c>
      <c r="IL9" s="99">
        <f t="shared" si="111"/>
        <v>0</v>
      </c>
      <c r="IM9" s="99">
        <f t="shared" si="111"/>
        <v>0</v>
      </c>
      <c r="IN9" s="99">
        <f t="shared" si="111"/>
        <v>0</v>
      </c>
      <c r="IO9" s="99">
        <f t="shared" si="111"/>
        <v>0</v>
      </c>
      <c r="IP9" s="99">
        <f t="shared" si="111"/>
        <v>0</v>
      </c>
      <c r="IQ9" s="99">
        <f t="shared" si="111"/>
        <v>0</v>
      </c>
      <c r="IR9" s="99">
        <f t="shared" si="111"/>
        <v>0</v>
      </c>
      <c r="IS9" s="99">
        <f t="shared" si="111"/>
        <v>0</v>
      </c>
      <c r="IT9" s="99">
        <f t="shared" si="111"/>
        <v>0</v>
      </c>
      <c r="IU9" s="99">
        <f t="shared" si="111"/>
        <v>0</v>
      </c>
      <c r="IV9" s="99">
        <f t="shared" si="111"/>
        <v>0</v>
      </c>
      <c r="IW9" s="99">
        <f t="shared" si="111"/>
        <v>0</v>
      </c>
      <c r="IX9" s="99">
        <f t="shared" si="111"/>
        <v>0</v>
      </c>
      <c r="IY9" s="99">
        <f t="shared" si="111"/>
        <v>0</v>
      </c>
      <c r="IZ9" s="99">
        <f t="shared" si="111"/>
        <v>0</v>
      </c>
      <c r="JA9" s="99">
        <f t="shared" si="111"/>
        <v>0</v>
      </c>
      <c r="JB9" s="99">
        <f t="shared" si="111"/>
        <v>0</v>
      </c>
      <c r="JC9" s="99">
        <f t="shared" si="111"/>
        <v>0</v>
      </c>
      <c r="JD9" s="99">
        <f t="shared" si="111"/>
        <v>0</v>
      </c>
      <c r="JE9" s="99">
        <f t="shared" si="111"/>
        <v>0</v>
      </c>
      <c r="JF9" s="99">
        <f t="shared" si="111"/>
        <v>0</v>
      </c>
      <c r="JG9" s="99">
        <f t="shared" si="111"/>
        <v>0</v>
      </c>
      <c r="JH9" s="99">
        <f t="shared" si="111"/>
        <v>0</v>
      </c>
      <c r="JI9" s="99">
        <f t="shared" si="111"/>
        <v>0</v>
      </c>
      <c r="JJ9" s="99">
        <f t="shared" si="111"/>
        <v>0</v>
      </c>
      <c r="JK9" s="99">
        <f t="shared" si="111"/>
        <v>0</v>
      </c>
      <c r="JL9" s="99">
        <f t="shared" si="111"/>
        <v>0</v>
      </c>
      <c r="JM9" s="99">
        <f t="shared" si="111"/>
        <v>0</v>
      </c>
      <c r="JN9" s="99">
        <f t="shared" si="111"/>
        <v>0</v>
      </c>
      <c r="JO9" s="99">
        <f t="shared" si="111"/>
        <v>0</v>
      </c>
      <c r="JP9" s="99">
        <f t="shared" si="111"/>
        <v>0</v>
      </c>
      <c r="JQ9" s="99">
        <f t="shared" si="111"/>
        <v>0</v>
      </c>
      <c r="JR9" s="99">
        <f t="shared" si="111"/>
        <v>0</v>
      </c>
      <c r="JS9" s="99">
        <f t="shared" si="111"/>
        <v>0</v>
      </c>
      <c r="JT9" s="99">
        <f t="shared" si="111"/>
        <v>0</v>
      </c>
      <c r="JU9" s="99">
        <f t="shared" si="111"/>
        <v>0</v>
      </c>
      <c r="JV9" s="99">
        <f t="shared" si="111"/>
        <v>0</v>
      </c>
      <c r="JW9" s="99">
        <f t="shared" si="111"/>
        <v>0</v>
      </c>
      <c r="JX9" s="99">
        <f t="shared" si="111"/>
        <v>0</v>
      </c>
      <c r="JY9" s="99">
        <f t="shared" si="111"/>
        <v>0</v>
      </c>
      <c r="JZ9" s="99">
        <f t="shared" si="111"/>
        <v>0</v>
      </c>
      <c r="KA9" s="99">
        <f t="shared" si="111"/>
        <v>0</v>
      </c>
      <c r="KB9" s="99">
        <f t="shared" ref="KB9:MM9" si="112">IF(AND($D$21&gt;0,$D$22&gt;0),IF(AND(CI4&gt;$D$21,OR(CI4&lt;$D$22,CI4=$D$22)),KB4,0),"")</f>
        <v>0</v>
      </c>
      <c r="KC9" s="99">
        <f t="shared" si="112"/>
        <v>0</v>
      </c>
      <c r="KD9" s="99">
        <f t="shared" si="112"/>
        <v>0</v>
      </c>
      <c r="KE9" s="99">
        <f t="shared" si="112"/>
        <v>0</v>
      </c>
      <c r="KF9" s="99">
        <f t="shared" si="112"/>
        <v>0</v>
      </c>
      <c r="KG9" s="99">
        <f t="shared" si="112"/>
        <v>0</v>
      </c>
      <c r="KH9" s="99">
        <f t="shared" si="112"/>
        <v>0</v>
      </c>
      <c r="KI9" s="99">
        <f t="shared" si="112"/>
        <v>0</v>
      </c>
      <c r="KJ9" s="99">
        <f t="shared" si="112"/>
        <v>0</v>
      </c>
      <c r="KK9" s="99">
        <f t="shared" si="112"/>
        <v>0</v>
      </c>
      <c r="KL9" s="99">
        <f t="shared" si="112"/>
        <v>0</v>
      </c>
      <c r="KM9" s="99">
        <f t="shared" si="112"/>
        <v>0</v>
      </c>
      <c r="KN9" s="99">
        <f t="shared" si="112"/>
        <v>0</v>
      </c>
      <c r="KO9" s="99">
        <f t="shared" si="112"/>
        <v>0</v>
      </c>
      <c r="KP9" s="99">
        <f t="shared" si="112"/>
        <v>0</v>
      </c>
      <c r="KQ9" s="99">
        <f t="shared" si="112"/>
        <v>0</v>
      </c>
      <c r="KR9" s="99">
        <f t="shared" si="112"/>
        <v>0</v>
      </c>
      <c r="KS9" s="99">
        <f t="shared" si="112"/>
        <v>0</v>
      </c>
      <c r="KT9" s="99">
        <f t="shared" si="112"/>
        <v>0</v>
      </c>
      <c r="KU9" s="99">
        <f t="shared" si="112"/>
        <v>0</v>
      </c>
      <c r="KV9" s="99">
        <f t="shared" si="112"/>
        <v>0</v>
      </c>
      <c r="KW9" s="99">
        <f t="shared" si="112"/>
        <v>0</v>
      </c>
      <c r="KX9" s="99">
        <f t="shared" si="112"/>
        <v>0</v>
      </c>
      <c r="KY9" s="99">
        <f t="shared" si="112"/>
        <v>0</v>
      </c>
      <c r="KZ9" s="99">
        <f t="shared" si="112"/>
        <v>0</v>
      </c>
      <c r="LA9" s="99">
        <f t="shared" si="112"/>
        <v>0</v>
      </c>
      <c r="LB9" s="99">
        <f t="shared" si="112"/>
        <v>4.9968800728685203E-2</v>
      </c>
      <c r="LC9" s="99">
        <f t="shared" si="112"/>
        <v>5.0568041865519421E-2</v>
      </c>
      <c r="LD9" s="99">
        <f t="shared" si="112"/>
        <v>5.1090178583257422E-2</v>
      </c>
      <c r="LE9" s="99">
        <f t="shared" si="112"/>
        <v>5.1532685817640346E-2</v>
      </c>
      <c r="LF9" s="99">
        <f t="shared" si="112"/>
        <v>5.1893409832448098E-2</v>
      </c>
      <c r="LG9" s="99">
        <f t="shared" si="112"/>
        <v>5.2170585679251966E-2</v>
      </c>
      <c r="LH9" s="99">
        <f t="shared" si="112"/>
        <v>5.2362851581573083E-2</v>
      </c>
      <c r="LI9" s="99">
        <f t="shared" si="112"/>
        <v>0</v>
      </c>
      <c r="LJ9" s="99">
        <f t="shared" si="112"/>
        <v>0</v>
      </c>
      <c r="LK9" s="99">
        <f t="shared" si="112"/>
        <v>0</v>
      </c>
      <c r="LL9" s="99">
        <f t="shared" si="112"/>
        <v>0</v>
      </c>
      <c r="LM9" s="99">
        <f t="shared" si="112"/>
        <v>0</v>
      </c>
      <c r="LN9" s="99">
        <f t="shared" si="112"/>
        <v>0</v>
      </c>
      <c r="LO9" s="99">
        <f t="shared" si="112"/>
        <v>0</v>
      </c>
      <c r="LP9" s="99">
        <f t="shared" si="112"/>
        <v>0</v>
      </c>
      <c r="LQ9" s="99">
        <f t="shared" si="112"/>
        <v>0</v>
      </c>
      <c r="LR9" s="99">
        <f t="shared" si="112"/>
        <v>0</v>
      </c>
      <c r="LS9" s="99">
        <f t="shared" si="112"/>
        <v>0</v>
      </c>
      <c r="LT9" s="99">
        <f t="shared" si="112"/>
        <v>0</v>
      </c>
      <c r="LU9" s="99">
        <f t="shared" si="112"/>
        <v>0</v>
      </c>
      <c r="LV9" s="99">
        <f t="shared" si="112"/>
        <v>0</v>
      </c>
      <c r="LW9" s="99">
        <f t="shared" si="112"/>
        <v>0</v>
      </c>
      <c r="LX9" s="99">
        <f t="shared" si="112"/>
        <v>0</v>
      </c>
      <c r="LY9" s="99">
        <f t="shared" si="112"/>
        <v>0</v>
      </c>
      <c r="LZ9" s="99">
        <f t="shared" si="112"/>
        <v>0</v>
      </c>
      <c r="MA9" s="99">
        <f t="shared" si="112"/>
        <v>0</v>
      </c>
      <c r="MB9" s="99">
        <f t="shared" si="112"/>
        <v>0</v>
      </c>
      <c r="MC9" s="99">
        <f t="shared" si="112"/>
        <v>0</v>
      </c>
      <c r="MD9" s="99">
        <f t="shared" si="112"/>
        <v>0</v>
      </c>
      <c r="ME9" s="99">
        <f t="shared" si="112"/>
        <v>0</v>
      </c>
      <c r="MF9" s="99">
        <f t="shared" si="112"/>
        <v>0</v>
      </c>
      <c r="MG9" s="99">
        <f t="shared" si="112"/>
        <v>0</v>
      </c>
      <c r="MH9" s="99">
        <f t="shared" si="112"/>
        <v>0</v>
      </c>
      <c r="MI9" s="99">
        <f t="shared" si="112"/>
        <v>0</v>
      </c>
      <c r="MJ9" s="99">
        <f t="shared" si="112"/>
        <v>0</v>
      </c>
      <c r="MK9" s="99">
        <f t="shared" si="112"/>
        <v>0</v>
      </c>
      <c r="ML9" s="99">
        <f t="shared" si="112"/>
        <v>0</v>
      </c>
      <c r="MM9" s="99">
        <f t="shared" si="112"/>
        <v>0</v>
      </c>
      <c r="MN9" s="99">
        <f t="shared" ref="MN9:OY9" si="113">IF(AND($D$21&gt;0,$D$22&gt;0),IF(AND(EU4&gt;$D$21,OR(EU4&lt;$D$22,EU4=$D$22)),MN4,0),"")</f>
        <v>0</v>
      </c>
      <c r="MO9" s="99">
        <f t="shared" si="113"/>
        <v>0</v>
      </c>
      <c r="MP9" s="99">
        <f t="shared" si="113"/>
        <v>0</v>
      </c>
      <c r="MQ9" s="99">
        <f t="shared" si="113"/>
        <v>0</v>
      </c>
      <c r="MR9" s="99">
        <f t="shared" si="113"/>
        <v>0</v>
      </c>
      <c r="MS9" s="99">
        <f t="shared" si="113"/>
        <v>0</v>
      </c>
      <c r="MT9" s="99">
        <f t="shared" si="113"/>
        <v>0</v>
      </c>
      <c r="MU9" s="99">
        <f t="shared" si="113"/>
        <v>0</v>
      </c>
      <c r="MV9" s="99">
        <f t="shared" si="113"/>
        <v>0</v>
      </c>
      <c r="MW9" s="99">
        <f t="shared" si="113"/>
        <v>0</v>
      </c>
      <c r="MX9" s="99">
        <f t="shared" si="113"/>
        <v>0</v>
      </c>
      <c r="MY9" s="99">
        <f t="shared" si="113"/>
        <v>0</v>
      </c>
      <c r="MZ9" s="99">
        <f t="shared" si="113"/>
        <v>0</v>
      </c>
      <c r="NA9" s="99">
        <f t="shared" si="113"/>
        <v>0</v>
      </c>
      <c r="NB9" s="99">
        <f t="shared" si="113"/>
        <v>0</v>
      </c>
      <c r="NC9" s="99">
        <f t="shared" si="113"/>
        <v>0</v>
      </c>
      <c r="ND9" s="99">
        <f t="shared" si="113"/>
        <v>0</v>
      </c>
      <c r="NE9" s="99">
        <f t="shared" si="113"/>
        <v>0</v>
      </c>
      <c r="NF9" s="99">
        <f t="shared" si="113"/>
        <v>0</v>
      </c>
      <c r="NG9" s="99">
        <f t="shared" si="113"/>
        <v>0</v>
      </c>
      <c r="NH9" s="99">
        <f t="shared" si="113"/>
        <v>0</v>
      </c>
      <c r="NI9" s="99">
        <f t="shared" si="113"/>
        <v>0</v>
      </c>
      <c r="NJ9" s="99">
        <f t="shared" si="113"/>
        <v>0</v>
      </c>
      <c r="NK9" s="99">
        <f t="shared" si="113"/>
        <v>0</v>
      </c>
      <c r="NL9" s="99">
        <f t="shared" si="113"/>
        <v>0</v>
      </c>
      <c r="NM9" s="99">
        <f t="shared" si="113"/>
        <v>0</v>
      </c>
      <c r="NN9" s="99">
        <f t="shared" si="113"/>
        <v>0</v>
      </c>
      <c r="NO9" s="99">
        <f t="shared" si="113"/>
        <v>0</v>
      </c>
      <c r="NP9" s="99">
        <f t="shared" si="113"/>
        <v>0</v>
      </c>
      <c r="NQ9" s="99">
        <f t="shared" si="113"/>
        <v>0</v>
      </c>
      <c r="NR9" s="99">
        <f t="shared" si="113"/>
        <v>0</v>
      </c>
      <c r="NS9" s="99">
        <f t="shared" si="113"/>
        <v>0</v>
      </c>
      <c r="NT9" s="99">
        <f t="shared" si="113"/>
        <v>0</v>
      </c>
      <c r="NU9" s="99">
        <f t="shared" si="113"/>
        <v>0</v>
      </c>
      <c r="NV9" s="99">
        <f t="shared" si="113"/>
        <v>0</v>
      </c>
      <c r="NW9" s="99">
        <f t="shared" si="113"/>
        <v>0</v>
      </c>
      <c r="NX9" s="99">
        <f t="shared" si="113"/>
        <v>0</v>
      </c>
      <c r="NY9" s="99">
        <f t="shared" si="113"/>
        <v>0</v>
      </c>
      <c r="NZ9" s="99">
        <f t="shared" si="113"/>
        <v>0</v>
      </c>
      <c r="OA9" s="99">
        <f t="shared" si="113"/>
        <v>0</v>
      </c>
      <c r="OB9" s="99">
        <f t="shared" si="113"/>
        <v>0</v>
      </c>
      <c r="OC9" s="99">
        <f t="shared" si="113"/>
        <v>0</v>
      </c>
      <c r="OD9" s="99">
        <f t="shared" si="113"/>
        <v>0</v>
      </c>
      <c r="OE9" s="99">
        <f t="shared" si="113"/>
        <v>0</v>
      </c>
      <c r="OF9" s="99">
        <f t="shared" si="113"/>
        <v>0</v>
      </c>
      <c r="OG9" s="99">
        <f t="shared" si="113"/>
        <v>0</v>
      </c>
      <c r="OH9" s="99">
        <f t="shared" si="113"/>
        <v>0</v>
      </c>
      <c r="OI9" s="99">
        <f t="shared" si="113"/>
        <v>0</v>
      </c>
      <c r="OJ9" s="99">
        <f t="shared" si="113"/>
        <v>0</v>
      </c>
      <c r="OK9" s="99">
        <f t="shared" si="113"/>
        <v>0</v>
      </c>
      <c r="OL9" s="99">
        <f t="shared" si="113"/>
        <v>0</v>
      </c>
      <c r="OM9" s="99">
        <f t="shared" si="113"/>
        <v>0</v>
      </c>
      <c r="ON9" s="99">
        <f t="shared" si="113"/>
        <v>0</v>
      </c>
      <c r="OO9" s="99">
        <f t="shared" si="113"/>
        <v>0</v>
      </c>
      <c r="OP9" s="99">
        <f t="shared" si="113"/>
        <v>0</v>
      </c>
      <c r="OQ9" s="99">
        <f t="shared" si="113"/>
        <v>0</v>
      </c>
      <c r="OR9" s="99">
        <f t="shared" si="113"/>
        <v>0</v>
      </c>
      <c r="OS9" s="99">
        <f t="shared" si="113"/>
        <v>0</v>
      </c>
      <c r="OT9" s="99">
        <f t="shared" si="113"/>
        <v>0</v>
      </c>
      <c r="OU9" s="99">
        <f t="shared" si="113"/>
        <v>0</v>
      </c>
      <c r="OV9" s="99">
        <f t="shared" si="113"/>
        <v>0</v>
      </c>
      <c r="OW9" s="99">
        <f t="shared" si="113"/>
        <v>0</v>
      </c>
      <c r="OX9" s="99">
        <f t="shared" si="113"/>
        <v>0</v>
      </c>
      <c r="OY9" s="99">
        <f t="shared" si="113"/>
        <v>0</v>
      </c>
      <c r="OZ9" s="99">
        <f t="shared" ref="OZ9:PH9" si="114">IF(AND($D$21&gt;0,$D$22&gt;0),IF(AND(HG4&gt;$D$21,OR(HG4&lt;$D$22,HG4=$D$22)),OZ4,0),"")</f>
        <v>0</v>
      </c>
      <c r="PA9" s="99">
        <f t="shared" si="114"/>
        <v>0</v>
      </c>
      <c r="PB9" s="99">
        <f t="shared" si="114"/>
        <v>0</v>
      </c>
      <c r="PC9" s="99">
        <f t="shared" si="114"/>
        <v>0</v>
      </c>
      <c r="PD9" s="99">
        <f t="shared" si="114"/>
        <v>0</v>
      </c>
      <c r="PE9" s="99">
        <f t="shared" si="114"/>
        <v>0</v>
      </c>
      <c r="PF9" s="99">
        <f t="shared" si="114"/>
        <v>0</v>
      </c>
      <c r="PG9" s="99">
        <f t="shared" si="114"/>
        <v>0</v>
      </c>
      <c r="PH9" s="99">
        <f t="shared" si="114"/>
        <v>0</v>
      </c>
    </row>
    <row r="10" spans="1:425" ht="18.5" customHeight="1">
      <c r="A10" s="164" t="s">
        <v>633</v>
      </c>
      <c r="B10" s="156">
        <v>46114</v>
      </c>
      <c r="C10" s="158" t="s">
        <v>640</v>
      </c>
      <c r="D10" s="165">
        <f>(B10-$G$7)+1</f>
        <v>92</v>
      </c>
      <c r="G10" s="182">
        <v>1.25</v>
      </c>
      <c r="H10" s="3"/>
      <c r="I10" s="3"/>
      <c r="J10" s="3"/>
      <c r="K10" s="3"/>
      <c r="L10" s="3"/>
      <c r="M10" s="3"/>
      <c r="N10" s="3"/>
      <c r="O10" s="3"/>
      <c r="P10" s="3"/>
      <c r="Q10" s="3"/>
      <c r="R10" s="3"/>
      <c r="S10" s="3"/>
      <c r="T10" s="3"/>
      <c r="U10" s="3"/>
      <c r="HP10" s="99">
        <f t="shared" ref="HP10:KA10" si="115">IF(AND($D$21&gt;0,$D$22&gt;0),IF(AND(W4&gt;$D$22),HP4,0),"")</f>
        <v>0</v>
      </c>
      <c r="HQ10" s="99">
        <f t="shared" si="115"/>
        <v>0</v>
      </c>
      <c r="HR10" s="99">
        <f t="shared" si="115"/>
        <v>0</v>
      </c>
      <c r="HS10" s="99">
        <f t="shared" si="115"/>
        <v>0</v>
      </c>
      <c r="HT10" s="99">
        <f t="shared" si="115"/>
        <v>0</v>
      </c>
      <c r="HU10" s="99">
        <f t="shared" si="115"/>
        <v>0</v>
      </c>
      <c r="HV10" s="99">
        <f t="shared" si="115"/>
        <v>0</v>
      </c>
      <c r="HW10" s="99">
        <f t="shared" si="115"/>
        <v>0</v>
      </c>
      <c r="HX10" s="99">
        <f t="shared" si="115"/>
        <v>0</v>
      </c>
      <c r="HY10" s="99">
        <f t="shared" si="115"/>
        <v>0</v>
      </c>
      <c r="HZ10" s="99">
        <f t="shared" si="115"/>
        <v>0</v>
      </c>
      <c r="IA10" s="99">
        <f t="shared" si="115"/>
        <v>0</v>
      </c>
      <c r="IB10" s="99">
        <f t="shared" si="115"/>
        <v>0</v>
      </c>
      <c r="IC10" s="99">
        <f t="shared" si="115"/>
        <v>0</v>
      </c>
      <c r="ID10" s="99">
        <f t="shared" si="115"/>
        <v>0</v>
      </c>
      <c r="IE10" s="99">
        <f t="shared" si="115"/>
        <v>0</v>
      </c>
      <c r="IF10" s="99">
        <f t="shared" si="115"/>
        <v>0</v>
      </c>
      <c r="IG10" s="99">
        <f t="shared" si="115"/>
        <v>0</v>
      </c>
      <c r="IH10" s="99">
        <f t="shared" si="115"/>
        <v>0</v>
      </c>
      <c r="II10" s="99">
        <f t="shared" si="115"/>
        <v>0</v>
      </c>
      <c r="IJ10" s="99">
        <f t="shared" si="115"/>
        <v>0</v>
      </c>
      <c r="IK10" s="99">
        <f t="shared" si="115"/>
        <v>0</v>
      </c>
      <c r="IL10" s="99">
        <f t="shared" si="115"/>
        <v>0</v>
      </c>
      <c r="IM10" s="99">
        <f t="shared" si="115"/>
        <v>0</v>
      </c>
      <c r="IN10" s="99">
        <f t="shared" si="115"/>
        <v>0</v>
      </c>
      <c r="IO10" s="99">
        <f t="shared" si="115"/>
        <v>0</v>
      </c>
      <c r="IP10" s="99">
        <f t="shared" si="115"/>
        <v>0</v>
      </c>
      <c r="IQ10" s="99">
        <f t="shared" si="115"/>
        <v>0</v>
      </c>
      <c r="IR10" s="99">
        <f t="shared" si="115"/>
        <v>0</v>
      </c>
      <c r="IS10" s="99">
        <f t="shared" si="115"/>
        <v>0</v>
      </c>
      <c r="IT10" s="99">
        <f t="shared" si="115"/>
        <v>0</v>
      </c>
      <c r="IU10" s="99">
        <f t="shared" si="115"/>
        <v>0</v>
      </c>
      <c r="IV10" s="99">
        <f t="shared" si="115"/>
        <v>0</v>
      </c>
      <c r="IW10" s="99">
        <f t="shared" si="115"/>
        <v>0</v>
      </c>
      <c r="IX10" s="99">
        <f t="shared" si="115"/>
        <v>0</v>
      </c>
      <c r="IY10" s="99">
        <f t="shared" si="115"/>
        <v>0</v>
      </c>
      <c r="IZ10" s="99">
        <f t="shared" si="115"/>
        <v>0</v>
      </c>
      <c r="JA10" s="99">
        <f t="shared" si="115"/>
        <v>0</v>
      </c>
      <c r="JB10" s="99">
        <f t="shared" si="115"/>
        <v>0</v>
      </c>
      <c r="JC10" s="99">
        <f t="shared" si="115"/>
        <v>0</v>
      </c>
      <c r="JD10" s="99">
        <f t="shared" si="115"/>
        <v>0</v>
      </c>
      <c r="JE10" s="99">
        <f t="shared" si="115"/>
        <v>0</v>
      </c>
      <c r="JF10" s="99">
        <f t="shared" si="115"/>
        <v>0</v>
      </c>
      <c r="JG10" s="99">
        <f t="shared" si="115"/>
        <v>0</v>
      </c>
      <c r="JH10" s="99">
        <f t="shared" si="115"/>
        <v>0</v>
      </c>
      <c r="JI10" s="99">
        <f t="shared" si="115"/>
        <v>0</v>
      </c>
      <c r="JJ10" s="99">
        <f t="shared" si="115"/>
        <v>0</v>
      </c>
      <c r="JK10" s="99">
        <f t="shared" si="115"/>
        <v>0</v>
      </c>
      <c r="JL10" s="99">
        <f t="shared" si="115"/>
        <v>0</v>
      </c>
      <c r="JM10" s="99">
        <f t="shared" si="115"/>
        <v>0</v>
      </c>
      <c r="JN10" s="99">
        <f t="shared" si="115"/>
        <v>0</v>
      </c>
      <c r="JO10" s="99">
        <f t="shared" si="115"/>
        <v>0</v>
      </c>
      <c r="JP10" s="99">
        <f t="shared" si="115"/>
        <v>0</v>
      </c>
      <c r="JQ10" s="99">
        <f t="shared" si="115"/>
        <v>0</v>
      </c>
      <c r="JR10" s="99">
        <f t="shared" si="115"/>
        <v>0</v>
      </c>
      <c r="JS10" s="99">
        <f t="shared" si="115"/>
        <v>0</v>
      </c>
      <c r="JT10" s="99">
        <f t="shared" si="115"/>
        <v>0</v>
      </c>
      <c r="JU10" s="99">
        <f t="shared" si="115"/>
        <v>0</v>
      </c>
      <c r="JV10" s="99">
        <f t="shared" si="115"/>
        <v>0</v>
      </c>
      <c r="JW10" s="99">
        <f t="shared" si="115"/>
        <v>0</v>
      </c>
      <c r="JX10" s="99">
        <f t="shared" si="115"/>
        <v>0</v>
      </c>
      <c r="JY10" s="99">
        <f t="shared" si="115"/>
        <v>0</v>
      </c>
      <c r="JZ10" s="99">
        <f t="shared" si="115"/>
        <v>0</v>
      </c>
      <c r="KA10" s="99">
        <f t="shared" si="115"/>
        <v>0</v>
      </c>
      <c r="KB10" s="99">
        <f t="shared" ref="KB10:MM10" si="116">IF(AND($D$21&gt;0,$D$22&gt;0),IF(AND(CI4&gt;$D$22),KB4,0),"")</f>
        <v>0</v>
      </c>
      <c r="KC10" s="99">
        <f t="shared" si="116"/>
        <v>0</v>
      </c>
      <c r="KD10" s="99">
        <f t="shared" si="116"/>
        <v>0</v>
      </c>
      <c r="KE10" s="99">
        <f t="shared" si="116"/>
        <v>0</v>
      </c>
      <c r="KF10" s="99">
        <f t="shared" si="116"/>
        <v>0</v>
      </c>
      <c r="KG10" s="99">
        <f t="shared" si="116"/>
        <v>0</v>
      </c>
      <c r="KH10" s="99">
        <f t="shared" si="116"/>
        <v>0</v>
      </c>
      <c r="KI10" s="99">
        <f t="shared" si="116"/>
        <v>0</v>
      </c>
      <c r="KJ10" s="99">
        <f t="shared" si="116"/>
        <v>0</v>
      </c>
      <c r="KK10" s="99">
        <f t="shared" si="116"/>
        <v>0</v>
      </c>
      <c r="KL10" s="99">
        <f t="shared" si="116"/>
        <v>0</v>
      </c>
      <c r="KM10" s="99">
        <f t="shared" si="116"/>
        <v>0</v>
      </c>
      <c r="KN10" s="99">
        <f t="shared" si="116"/>
        <v>0</v>
      </c>
      <c r="KO10" s="99">
        <f t="shared" si="116"/>
        <v>0</v>
      </c>
      <c r="KP10" s="99">
        <f t="shared" si="116"/>
        <v>0</v>
      </c>
      <c r="KQ10" s="99">
        <f t="shared" si="116"/>
        <v>0</v>
      </c>
      <c r="KR10" s="99">
        <f t="shared" si="116"/>
        <v>0</v>
      </c>
      <c r="KS10" s="99">
        <f t="shared" si="116"/>
        <v>0</v>
      </c>
      <c r="KT10" s="99">
        <f t="shared" si="116"/>
        <v>0</v>
      </c>
      <c r="KU10" s="99">
        <f t="shared" si="116"/>
        <v>0</v>
      </c>
      <c r="KV10" s="99">
        <f t="shared" si="116"/>
        <v>0</v>
      </c>
      <c r="KW10" s="99">
        <f t="shared" si="116"/>
        <v>0</v>
      </c>
      <c r="KX10" s="99">
        <f t="shared" si="116"/>
        <v>0</v>
      </c>
      <c r="KY10" s="99">
        <f t="shared" si="116"/>
        <v>0</v>
      </c>
      <c r="KZ10" s="99">
        <f t="shared" si="116"/>
        <v>0</v>
      </c>
      <c r="LA10" s="99">
        <f t="shared" si="116"/>
        <v>0</v>
      </c>
      <c r="LB10" s="99">
        <f t="shared" si="116"/>
        <v>0</v>
      </c>
      <c r="LC10" s="99">
        <f t="shared" si="116"/>
        <v>0</v>
      </c>
      <c r="LD10" s="99">
        <f t="shared" si="116"/>
        <v>0</v>
      </c>
      <c r="LE10" s="99">
        <f t="shared" si="116"/>
        <v>0</v>
      </c>
      <c r="LF10" s="99">
        <f t="shared" si="116"/>
        <v>0</v>
      </c>
      <c r="LG10" s="99">
        <f t="shared" si="116"/>
        <v>0</v>
      </c>
      <c r="LH10" s="99">
        <f t="shared" si="116"/>
        <v>0</v>
      </c>
      <c r="LI10" s="99">
        <f t="shared" si="116"/>
        <v>5.2469260079421542E-2</v>
      </c>
      <c r="LJ10" s="99">
        <f t="shared" si="116"/>
        <v>5.2489285806600408E-2</v>
      </c>
      <c r="LK10" s="99">
        <f t="shared" si="116"/>
        <v>5.2422829811446865E-2</v>
      </c>
      <c r="LL10" s="99">
        <f t="shared" si="116"/>
        <v>5.2270220371289269E-2</v>
      </c>
      <c r="LM10" s="99">
        <f t="shared" si="116"/>
        <v>5.2032210291239785E-2</v>
      </c>
      <c r="LN10" s="99">
        <f t="shared" si="116"/>
        <v>5.1709970718423225E-2</v>
      </c>
      <c r="LO10" s="99">
        <f t="shared" si="116"/>
        <v>5.1305081542762282E-2</v>
      </c>
      <c r="LP10" s="99">
        <f t="shared" si="116"/>
        <v>5.0819518494409237E-2</v>
      </c>
      <c r="LQ10" s="99">
        <f t="shared" si="116"/>
        <v>5.0255637085260978E-2</v>
      </c>
      <c r="LR10" s="99">
        <f t="shared" si="116"/>
        <v>4.9616153577176345E-2</v>
      </c>
      <c r="LS10" s="99">
        <f t="shared" si="116"/>
        <v>4.8904123192028436E-2</v>
      </c>
      <c r="LT10" s="99">
        <f t="shared" si="116"/>
        <v>4.8122915808113544E-2</v>
      </c>
      <c r="LU10" s="99">
        <f t="shared" si="116"/>
        <v>4.7276189413302687E-2</v>
      </c>
      <c r="LV10" s="99">
        <f t="shared" si="116"/>
        <v>4.6367861607321807E-2</v>
      </c>
      <c r="LW10" s="99">
        <f t="shared" si="116"/>
        <v>4.540207946341257E-2</v>
      </c>
      <c r="LX10" s="99">
        <f t="shared" si="116"/>
        <v>4.438318807315729E-2</v>
      </c>
      <c r="LY10" s="99">
        <f t="shared" si="116"/>
        <v>4.3315698107321922E-2</v>
      </c>
      <c r="LZ10" s="99">
        <f t="shared" si="116"/>
        <v>4.2204252730131245E-2</v>
      </c>
      <c r="MA10" s="99">
        <f t="shared" si="116"/>
        <v>4.1053594204461696E-2</v>
      </c>
      <c r="MB10" s="99">
        <f t="shared" si="116"/>
        <v>3.9868530521117281E-2</v>
      </c>
      <c r="MC10" s="99">
        <f t="shared" si="116"/>
        <v>3.8653902376806805E-2</v>
      </c>
      <c r="MD10" s="99">
        <f t="shared" si="116"/>
        <v>3.7414550812896512E-2</v>
      </c>
      <c r="ME10" s="99">
        <f t="shared" si="116"/>
        <v>3.6155285810760121E-2</v>
      </c>
      <c r="MF10" s="99">
        <f t="shared" si="116"/>
        <v>3.4880856119928715E-2</v>
      </c>
      <c r="MG10" s="99">
        <f t="shared" si="116"/>
        <v>3.3595920572642081E-2</v>
      </c>
      <c r="MH10" s="99">
        <f t="shared" si="116"/>
        <v>3.2305021113243418E-2</v>
      </c>
      <c r="MI10" s="99">
        <f t="shared" si="116"/>
        <v>3.1012557743590421E-2</v>
      </c>
      <c r="MJ10" s="99">
        <f t="shared" si="116"/>
        <v>2.972276555674707E-2</v>
      </c>
      <c r="MK10" s="99">
        <f t="shared" si="116"/>
        <v>2.8439694001151178E-2</v>
      </c>
      <c r="ML10" s="99">
        <f t="shared" si="116"/>
        <v>2.7167188486702833E-2</v>
      </c>
      <c r="MM10" s="99">
        <f t="shared" si="116"/>
        <v>2.5908874413260823E-2</v>
      </c>
      <c r="MN10" s="99">
        <f t="shared" ref="MN10:OY10" si="117">IF(AND($D$21&gt;0,$D$22&gt;0),IF(AND(EU4&gt;$D$22),MN4,0),"")</f>
        <v>2.466814367132586E-2</v>
      </c>
      <c r="MO10" s="99">
        <f t="shared" si="117"/>
        <v>2.3448143634664045E-2</v>
      </c>
      <c r="MP10" s="99">
        <f t="shared" si="117"/>
        <v>2.2251768635687463E-2</v>
      </c>
      <c r="MQ10" s="99">
        <f t="shared" si="117"/>
        <v>2.1081653886927752E-2</v>
      </c>
      <c r="MR10" s="99">
        <f t="shared" si="117"/>
        <v>1.9940171786244524E-2</v>
      </c>
      <c r="MS10" s="99">
        <f t="shared" si="117"/>
        <v>1.8829430519784154E-2</v>
      </c>
      <c r="MT10" s="99">
        <f t="shared" si="117"/>
        <v>1.7751274855386037E-2</v>
      </c>
      <c r="MU10" s="99">
        <f t="shared" si="117"/>
        <v>1.6707289000308163E-2</v>
      </c>
      <c r="MV10" s="99">
        <f t="shared" si="117"/>
        <v>1.5698801380951501E-2</v>
      </c>
      <c r="MW10" s="99">
        <f t="shared" si="117"/>
        <v>1.4726891188791167E-2</v>
      </c>
      <c r="MX10" s="99">
        <f t="shared" si="117"/>
        <v>1.3792396526012033E-2</v>
      </c>
      <c r="MY10" s="99">
        <f t="shared" si="117"/>
        <v>1.2895923976390706E-2</v>
      </c>
      <c r="MZ10" s="99">
        <f t="shared" si="117"/>
        <v>1.2037859421715832E-2</v>
      </c>
      <c r="NA10" s="99">
        <f t="shared" si="117"/>
        <v>1.1218379921403206E-2</v>
      </c>
      <c r="NB10" s="99">
        <f t="shared" si="117"/>
        <v>1.0437466472816698E-2</v>
      </c>
      <c r="NC10" s="99">
        <f t="shared" si="117"/>
        <v>9.6949174719916376E-3</v>
      </c>
      <c r="ND10" s="99">
        <f t="shared" si="117"/>
        <v>8.9903626987905445E-3</v>
      </c>
      <c r="NE10" s="99">
        <f t="shared" si="117"/>
        <v>8.3232776567950719E-3</v>
      </c>
      <c r="NF10" s="99">
        <f t="shared" si="117"/>
        <v>7.6929981062300373E-3</v>
      </c>
      <c r="NG10" s="99">
        <f t="shared" si="117"/>
        <v>7.0987346376903378E-3</v>
      </c>
      <c r="NH10" s="99">
        <f t="shared" si="117"/>
        <v>6.5395871451580595E-3</v>
      </c>
      <c r="NI10" s="99">
        <f t="shared" si="117"/>
        <v>6.0145590685111681E-3</v>
      </c>
      <c r="NJ10" s="99">
        <f t="shared" si="117"/>
        <v>5.5225712881955529E-3</v>
      </c>
      <c r="NK10" s="99">
        <f t="shared" si="117"/>
        <v>5.0624755677235291E-3</v>
      </c>
      <c r="NL10" s="99">
        <f t="shared" si="117"/>
        <v>4.6330674529493111E-3</v>
      </c>
      <c r="NM10" s="99">
        <f t="shared" si="117"/>
        <v>4.2330985504425217E-3</v>
      </c>
      <c r="NN10" s="99">
        <f t="shared" si="117"/>
        <v>3.8612881205389578E-3</v>
      </c>
      <c r="NO10" s="99">
        <f t="shared" si="117"/>
        <v>3.5163339336141161E-3</v>
      </c>
      <c r="NP10" s="99">
        <f t="shared" si="117"/>
        <v>3.1969223506404985E-3</v>
      </c>
      <c r="NQ10" s="99">
        <f t="shared" si="117"/>
        <v>2.9017376010159516E-3</v>
      </c>
      <c r="NR10" s="99">
        <f t="shared" si="117"/>
        <v>2.6294702418695505E-3</v>
      </c>
      <c r="NS10" s="99">
        <f t="shared" si="117"/>
        <v>2.3788247934680164E-3</v>
      </c>
      <c r="NT10" s="99">
        <f t="shared" si="117"/>
        <v>2.148526554884319E-3</v>
      </c>
      <c r="NU10" s="99">
        <f t="shared" si="117"/>
        <v>1.93732761269686E-3</v>
      </c>
      <c r="NV10" s="99">
        <f t="shared" si="117"/>
        <v>1.7440120631276796E-3</v>
      </c>
      <c r="NW10" s="99">
        <f t="shared" si="117"/>
        <v>1.5674004746849769E-3</v>
      </c>
      <c r="NX10" s="99">
        <f t="shared" si="117"/>
        <v>1.4063536240499761E-3</v>
      </c>
      <c r="NY10" s="99">
        <f t="shared" si="117"/>
        <v>1.2597755426561801E-3</v>
      </c>
      <c r="NZ10" s="99">
        <f t="shared" si="117"/>
        <v>1.1266159151801754E-3</v>
      </c>
      <c r="OA10" s="99">
        <f t="shared" si="117"/>
        <v>1.0058718740383289E-3</v>
      </c>
      <c r="OB10" s="99">
        <f t="shared" si="117"/>
        <v>8.9658923601396569E-4</v>
      </c>
      <c r="OC10" s="99">
        <f t="shared" si="117"/>
        <v>7.9786322838373022E-4</v>
      </c>
      <c r="OD10" s="99">
        <f t="shared" si="117"/>
        <v>7.0883875243493407E-4</v>
      </c>
      <c r="OE10" s="99">
        <f t="shared" si="117"/>
        <v>6.287102321369969E-4</v>
      </c>
      <c r="OF10" s="99">
        <f t="shared" si="117"/>
        <v>5.5672109502165985E-4</v>
      </c>
      <c r="OG10" s="99">
        <f t="shared" si="117"/>
        <v>4.9216293111184418E-4</v>
      </c>
      <c r="OH10" s="99">
        <f t="shared" si="117"/>
        <v>4.3437437409067831E-4</v>
      </c>
      <c r="OI10" s="99">
        <f t="shared" si="117"/>
        <v>3.8273974689214703E-4</v>
      </c>
      <c r="OJ10" s="99">
        <f t="shared" si="117"/>
        <v>3.3668751159199854E-4</v>
      </c>
      <c r="OK10" s="99">
        <f t="shared" si="117"/>
        <v>2.9568856094785799E-4</v>
      </c>
      <c r="OL10" s="99">
        <f t="shared" si="117"/>
        <v>2.5925438624253047E-4</v>
      </c>
      <c r="OM10" s="99">
        <f t="shared" si="117"/>
        <v>2.26935153281225E-4</v>
      </c>
      <c r="ON10" s="99">
        <f t="shared" si="117"/>
        <v>1.9831771553379898E-4</v>
      </c>
      <c r="OO10" s="99">
        <f t="shared" si="117"/>
        <v>1.7302359054360765E-4</v>
      </c>
      <c r="OP10" s="99">
        <f t="shared" si="117"/>
        <v>1.5070692288616838E-4</v>
      </c>
      <c r="OQ10" s="99">
        <f t="shared" si="117"/>
        <v>1.3105245418911979E-4</v>
      </c>
      <c r="OR10" s="99">
        <f t="shared" si="117"/>
        <v>1.1377351804989074E-4</v>
      </c>
      <c r="OS10" s="99">
        <f t="shared" si="117"/>
        <v>9.861007513387962E-5</v>
      </c>
      <c r="OT10" s="99">
        <f t="shared" si="117"/>
        <v>8.5326801323543791E-5</v>
      </c>
      <c r="OU10" s="99">
        <f t="shared" si="117"/>
        <v>7.3711239532629869E-5</v>
      </c>
      <c r="OV10" s="99">
        <f t="shared" si="117"/>
        <v>6.3572023710536281E-5</v>
      </c>
      <c r="OW10" s="99">
        <f t="shared" si="117"/>
        <v>5.4737181646207341E-5</v>
      </c>
      <c r="OX10" s="99">
        <f t="shared" si="117"/>
        <v>4.7052521442168798E-5</v>
      </c>
      <c r="OY10" s="99">
        <f t="shared" si="117"/>
        <v>4.0380104967372349E-5</v>
      </c>
      <c r="OZ10" s="99">
        <f t="shared" ref="OZ10:PH10" si="118">IF(AND($D$21&gt;0,$D$22&gt;0),IF(AND(HG4&gt;$D$22),OZ4,0),"")</f>
        <v>3.4596810209729343E-5</v>
      </c>
      <c r="PA10" s="99">
        <f t="shared" si="118"/>
        <v>2.9592983230630012E-5</v>
      </c>
      <c r="PB10" s="99">
        <f t="shared" si="118"/>
        <v>2.5271179367484406E-5</v>
      </c>
      <c r="PC10" s="99">
        <f t="shared" si="118"/>
        <v>2.1544992428013805E-5</v>
      </c>
      <c r="PD10" s="99">
        <f t="shared" si="118"/>
        <v>1.8337969862131877E-5</v>
      </c>
      <c r="PE10" s="99">
        <f t="shared" si="118"/>
        <v>1.5582611273403583E-5</v>
      </c>
      <c r="PF10" s="99">
        <f t="shared" si="118"/>
        <v>1.3219447131343812E-5</v>
      </c>
      <c r="PG10" s="99">
        <f t="shared" si="118"/>
        <v>1.1196194157025461E-5</v>
      </c>
      <c r="PH10" s="99">
        <f t="shared" si="118"/>
        <v>9.4669835663548798E-6</v>
      </c>
    </row>
    <row r="11" spans="1:425" ht="18.5" customHeight="1" thickBot="1">
      <c r="A11" s="166" t="s">
        <v>634</v>
      </c>
      <c r="B11" s="167">
        <f>(B10-B9)+1</f>
        <v>3</v>
      </c>
      <c r="C11" s="168"/>
      <c r="D11" s="169"/>
      <c r="H11" s="3"/>
      <c r="I11" s="3"/>
      <c r="J11" s="3"/>
      <c r="K11" s="3"/>
      <c r="L11" s="3"/>
      <c r="M11" s="3"/>
      <c r="N11" s="3"/>
      <c r="O11" s="3"/>
      <c r="P11" s="3"/>
      <c r="Q11" s="3"/>
      <c r="R11" s="3"/>
      <c r="S11" s="3"/>
      <c r="T11" s="3"/>
      <c r="U11" s="3"/>
      <c r="HP11" s="116">
        <f>MAX(HP8:HP10)</f>
        <v>2.0000009907544015E-5</v>
      </c>
      <c r="HQ11" s="116">
        <f t="shared" ref="HQ11:KB11" si="119">MAX(HQ8:HQ10)</f>
        <v>2.3476903931326837E-5</v>
      </c>
      <c r="HR11" s="116">
        <f t="shared" si="119"/>
        <v>2.7512845421374587E-5</v>
      </c>
      <c r="HS11" s="116">
        <f t="shared" si="119"/>
        <v>3.2189502662828577E-5</v>
      </c>
      <c r="HT11" s="116">
        <f t="shared" si="119"/>
        <v>3.7599069634528677E-5</v>
      </c>
      <c r="HU11" s="116">
        <f t="shared" si="119"/>
        <v>4.3845396719074988E-5</v>
      </c>
      <c r="HV11" s="116">
        <f t="shared" si="119"/>
        <v>5.1045208557999907E-5</v>
      </c>
      <c r="HW11" s="116">
        <f t="shared" si="119"/>
        <v>5.9329410676536208E-5</v>
      </c>
      <c r="HX11" s="116">
        <f t="shared" si="119"/>
        <v>6.8844485668262829E-5</v>
      </c>
      <c r="HY11" s="116">
        <f t="shared" si="119"/>
        <v>7.9753978746045277E-5</v>
      </c>
      <c r="HZ11" s="116">
        <f t="shared" si="119"/>
        <v>9.2240071323206602E-5</v>
      </c>
      <c r="IA11" s="116">
        <f t="shared" si="119"/>
        <v>1.065052399801522E-4</v>
      </c>
      <c r="IB11" s="116">
        <f t="shared" si="119"/>
        <v>1.2277399669084158E-4</v>
      </c>
      <c r="IC11" s="116">
        <f t="shared" si="119"/>
        <v>1.4129470452675329E-4</v>
      </c>
      <c r="ID11" s="116">
        <f t="shared" si="119"/>
        <v>1.6234146122205256E-4</v>
      </c>
      <c r="IE11" s="116">
        <f t="shared" si="119"/>
        <v>1.8621604097422158E-4</v>
      </c>
      <c r="IF11" s="116">
        <f t="shared" si="119"/>
        <v>2.132498826744421E-4</v>
      </c>
      <c r="IG11" s="116">
        <f t="shared" si="119"/>
        <v>2.438061104203503E-4</v>
      </c>
      <c r="IH11" s="116">
        <f t="shared" si="119"/>
        <v>2.7828156967339284E-4</v>
      </c>
      <c r="II11" s="116">
        <f t="shared" si="119"/>
        <v>3.1710885980139238E-4</v>
      </c>
      <c r="IJ11" s="116">
        <f t="shared" si="119"/>
        <v>3.6075834101656251E-4</v>
      </c>
      <c r="IK11" s="116">
        <f t="shared" si="119"/>
        <v>4.0974009090758692E-4</v>
      </c>
      <c r="IL11" s="116">
        <f t="shared" si="119"/>
        <v>4.6460578290454153E-4</v>
      </c>
      <c r="IM11" s="116">
        <f t="shared" si="119"/>
        <v>5.2595045614576739E-4</v>
      </c>
      <c r="IN11" s="116">
        <f t="shared" si="119"/>
        <v>5.9441414338031004E-4</v>
      </c>
      <c r="IO11" s="116">
        <f t="shared" si="119"/>
        <v>6.7068332078768563E-4</v>
      </c>
      <c r="IP11" s="116">
        <f t="shared" si="119"/>
        <v>7.554921409831135E-4</v>
      </c>
      <c r="IQ11" s="116">
        <f t="shared" si="119"/>
        <v>8.4962340806056232E-4</v>
      </c>
      <c r="IR11" s="116">
        <f t="shared" si="119"/>
        <v>9.5390925137197441E-4</v>
      </c>
      <c r="IS11" s="116">
        <f t="shared" si="119"/>
        <v>1.0692314529164176E-3</v>
      </c>
      <c r="IT11" s="116">
        <f t="shared" si="119"/>
        <v>1.196521381788374E-3</v>
      </c>
      <c r="IU11" s="116">
        <f t="shared" si="119"/>
        <v>1.336759488182405E-3</v>
      </c>
      <c r="IV11" s="116">
        <f t="shared" si="119"/>
        <v>1.4909743090452821E-3</v>
      </c>
      <c r="IW11" s="116">
        <f t="shared" si="119"/>
        <v>1.6602409376791593E-3</v>
      </c>
      <c r="IX11" s="116">
        <f t="shared" si="119"/>
        <v>1.84567891050134E-3</v>
      </c>
      <c r="IY11" s="116">
        <f t="shared" si="119"/>
        <v>2.0484494658247229E-3</v>
      </c>
      <c r="IZ11" s="116">
        <f t="shared" si="119"/>
        <v>2.269752132000188E-3</v>
      </c>
      <c r="JA11" s="116">
        <f t="shared" si="119"/>
        <v>2.5108206056126993E-3</v>
      </c>
      <c r="JB11" s="116">
        <f t="shared" si="119"/>
        <v>2.7729178846928708E-3</v>
      </c>
      <c r="JC11" s="116">
        <f t="shared" si="119"/>
        <v>3.057330627129976E-3</v>
      </c>
      <c r="JD11" s="116">
        <f t="shared" si="119"/>
        <v>3.3653627106735142E-3</v>
      </c>
      <c r="JE11" s="116">
        <f t="shared" si="119"/>
        <v>3.6983279780963712E-3</v>
      </c>
      <c r="JF11" s="116">
        <f t="shared" si="119"/>
        <v>4.0575421592548688E-3</v>
      </c>
      <c r="JG11" s="116">
        <f t="shared" si="119"/>
        <v>4.4443139708937648E-3</v>
      </c>
      <c r="JH11" s="116">
        <f t="shared" si="119"/>
        <v>4.8599354050624733E-3</v>
      </c>
      <c r="JI11" s="116">
        <f t="shared" si="119"/>
        <v>5.3056712278669515E-3</v>
      </c>
      <c r="JJ11" s="116">
        <f t="shared" si="119"/>
        <v>5.7827477218938819E-3</v>
      </c>
      <c r="JK11" s="116">
        <f t="shared" si="119"/>
        <v>6.2923407179025581E-3</v>
      </c>
      <c r="JL11" s="116">
        <f t="shared" si="119"/>
        <v>6.8355629741559641E-3</v>
      </c>
      <c r="JM11" s="116">
        <f t="shared" si="119"/>
        <v>7.4134509749066175E-3</v>
      </c>
      <c r="JN11" s="116">
        <f t="shared" si="119"/>
        <v>8.0269512328946732E-3</v>
      </c>
      <c r="JO11" s="116">
        <f t="shared" si="119"/>
        <v>8.6769061940672777E-3</v>
      </c>
      <c r="JP11" s="116">
        <f t="shared" si="119"/>
        <v>9.3640398558835925E-3</v>
      </c>
      <c r="JQ11" s="116">
        <f t="shared" si="119"/>
        <v>1.0088943223310453E-2</v>
      </c>
      <c r="JR11" s="116">
        <f t="shared" si="119"/>
        <v>1.0852059738707428E-2</v>
      </c>
      <c r="JS11" s="116">
        <f t="shared" si="119"/>
        <v>1.1653670833008625E-2</v>
      </c>
      <c r="JT11" s="116">
        <f t="shared" si="119"/>
        <v>1.2493881755688763E-2</v>
      </c>
      <c r="JU11" s="116">
        <f t="shared" si="119"/>
        <v>1.337260784970907E-2</v>
      </c>
      <c r="JV11" s="116">
        <f t="shared" si="119"/>
        <v>1.4289561444736636E-2</v>
      </c>
      <c r="JW11" s="116">
        <f t="shared" si="119"/>
        <v>1.5244239547189379E-2</v>
      </c>
      <c r="JX11" s="116">
        <f t="shared" si="119"/>
        <v>1.6235912508862894E-2</v>
      </c>
      <c r="JY11" s="116">
        <f t="shared" si="119"/>
        <v>1.7263613856850681E-2</v>
      </c>
      <c r="JZ11" s="116">
        <f t="shared" si="119"/>
        <v>1.8326131466004258E-2</v>
      </c>
      <c r="KA11" s="116">
        <f t="shared" si="119"/>
        <v>1.9422000251153357E-2</v>
      </c>
      <c r="KB11" s="116">
        <f t="shared" si="119"/>
        <v>2.0549496549612318E-2</v>
      </c>
      <c r="KC11" s="116">
        <f t="shared" ref="KC11:LL11" si="120">MAX(KC8:KC10)</f>
        <v>2.1706634355067065E-2</v>
      </c>
      <c r="KD11" s="116">
        <f t="shared" si="120"/>
        <v>2.2891163551741724E-2</v>
      </c>
      <c r="KE11" s="116">
        <f t="shared" si="120"/>
        <v>2.4100570282803404E-2</v>
      </c>
      <c r="KF11" s="116">
        <f t="shared" si="120"/>
        <v>2.5332079569342848E-2</v>
      </c>
      <c r="KG11" s="116">
        <f t="shared" si="120"/>
        <v>2.6582660276084445E-2</v>
      </c>
      <c r="KH11" s="116">
        <f t="shared" si="120"/>
        <v>2.7849032497394691E-2</v>
      </c>
      <c r="KI11" s="116">
        <f t="shared" si="120"/>
        <v>2.9127677412388572E-2</v>
      </c>
      <c r="KJ11" s="116">
        <f t="shared" si="120"/>
        <v>3.0414849631242042E-2</v>
      </c>
      <c r="KK11" s="116">
        <f t="shared" si="120"/>
        <v>3.1706592026511896E-2</v>
      </c>
      <c r="KL11" s="116">
        <f t="shared" si="120"/>
        <v>3.2998753013695321E-2</v>
      </c>
      <c r="KM11" s="116">
        <f t="shared" si="120"/>
        <v>3.4287006214816736E-2</v>
      </c>
      <c r="KN11" s="116">
        <f t="shared" si="120"/>
        <v>3.5566872407931334E-2</v>
      </c>
      <c r="KO11" s="116">
        <f t="shared" si="120"/>
        <v>3.6833743634530972E-2</v>
      </c>
      <c r="KP11" s="116">
        <f t="shared" si="120"/>
        <v>3.8082909306393686E-2</v>
      </c>
      <c r="KQ11" s="116">
        <f t="shared" si="120"/>
        <v>3.9309584123912687E-2</v>
      </c>
      <c r="KR11" s="116">
        <f t="shared" si="120"/>
        <v>4.0508937589853154E-2</v>
      </c>
      <c r="KS11" s="116">
        <f t="shared" si="120"/>
        <v>4.1676124876292152E-2</v>
      </c>
      <c r="KT11" s="116">
        <f t="shared" si="120"/>
        <v>4.2806318778656406E-2</v>
      </c>
      <c r="KU11" s="116">
        <f t="shared" si="120"/>
        <v>4.3894742469723275E-2</v>
      </c>
      <c r="KV11" s="116">
        <f t="shared" si="120"/>
        <v>4.4936702748593266E-2</v>
      </c>
      <c r="KW11" s="116">
        <f t="shared" si="120"/>
        <v>4.5927623465342765E-2</v>
      </c>
      <c r="KX11" s="116">
        <f t="shared" si="120"/>
        <v>4.6863078791635607E-2</v>
      </c>
      <c r="KY11" s="116">
        <f t="shared" si="120"/>
        <v>4.7738826001270496E-2</v>
      </c>
      <c r="KZ11" s="116">
        <f t="shared" si="120"/>
        <v>4.8550837422663334E-2</v>
      </c>
      <c r="LA11" s="116">
        <f t="shared" si="120"/>
        <v>4.929533122773825E-2</v>
      </c>
      <c r="LB11" s="116">
        <f t="shared" si="120"/>
        <v>4.9968800728685203E-2</v>
      </c>
      <c r="LC11" s="116">
        <f t="shared" si="120"/>
        <v>5.0568041865519421E-2</v>
      </c>
      <c r="LD11" s="116">
        <f t="shared" si="120"/>
        <v>5.1090178583257422E-2</v>
      </c>
      <c r="LE11" s="116">
        <f t="shared" si="120"/>
        <v>5.1532685817640346E-2</v>
      </c>
      <c r="LF11" s="116">
        <f t="shared" si="120"/>
        <v>5.1893409832448098E-2</v>
      </c>
      <c r="LG11" s="116">
        <f t="shared" si="120"/>
        <v>5.2170585679251966E-2</v>
      </c>
      <c r="LH11" s="116">
        <f t="shared" si="120"/>
        <v>5.2362851581573083E-2</v>
      </c>
      <c r="LI11" s="116">
        <f t="shared" si="120"/>
        <v>5.2469260079421542E-2</v>
      </c>
      <c r="LJ11" s="116">
        <f t="shared" si="120"/>
        <v>5.2489285806600408E-2</v>
      </c>
      <c r="LK11" s="116">
        <f t="shared" si="120"/>
        <v>5.2422829811446865E-2</v>
      </c>
      <c r="LL11" s="116">
        <f t="shared" si="120"/>
        <v>5.2270220371289269E-2</v>
      </c>
      <c r="LM11" s="116">
        <f t="shared" ref="LM11:NX11" si="121">MAX(LM8:LM10)</f>
        <v>5.2032210291239785E-2</v>
      </c>
      <c r="LN11" s="116">
        <f t="shared" si="121"/>
        <v>5.1709970718423225E-2</v>
      </c>
      <c r="LO11" s="116">
        <f t="shared" si="121"/>
        <v>5.1305081542762282E-2</v>
      </c>
      <c r="LP11" s="116">
        <f t="shared" si="121"/>
        <v>5.0819518494409237E-2</v>
      </c>
      <c r="LQ11" s="116">
        <f t="shared" si="121"/>
        <v>5.0255637085260978E-2</v>
      </c>
      <c r="LR11" s="116">
        <f t="shared" si="121"/>
        <v>4.9616153577176345E-2</v>
      </c>
      <c r="LS11" s="116">
        <f t="shared" si="121"/>
        <v>4.8904123192028436E-2</v>
      </c>
      <c r="LT11" s="116">
        <f t="shared" si="121"/>
        <v>4.8122915808113544E-2</v>
      </c>
      <c r="LU11" s="116">
        <f t="shared" si="121"/>
        <v>4.7276189413302687E-2</v>
      </c>
      <c r="LV11" s="116">
        <f t="shared" si="121"/>
        <v>4.6367861607321807E-2</v>
      </c>
      <c r="LW11" s="116">
        <f t="shared" si="121"/>
        <v>4.540207946341257E-2</v>
      </c>
      <c r="LX11" s="116">
        <f t="shared" si="121"/>
        <v>4.438318807315729E-2</v>
      </c>
      <c r="LY11" s="116">
        <f t="shared" si="121"/>
        <v>4.3315698107321922E-2</v>
      </c>
      <c r="LZ11" s="116">
        <f t="shared" si="121"/>
        <v>4.2204252730131245E-2</v>
      </c>
      <c r="MA11" s="116">
        <f t="shared" si="121"/>
        <v>4.1053594204461696E-2</v>
      </c>
      <c r="MB11" s="116">
        <f t="shared" si="121"/>
        <v>3.9868530521117281E-2</v>
      </c>
      <c r="MC11" s="116">
        <f t="shared" si="121"/>
        <v>3.8653902376806805E-2</v>
      </c>
      <c r="MD11" s="116">
        <f t="shared" si="121"/>
        <v>3.7414550812896512E-2</v>
      </c>
      <c r="ME11" s="116">
        <f t="shared" si="121"/>
        <v>3.6155285810760121E-2</v>
      </c>
      <c r="MF11" s="116">
        <f t="shared" si="121"/>
        <v>3.4880856119928715E-2</v>
      </c>
      <c r="MG11" s="116">
        <f t="shared" si="121"/>
        <v>3.3595920572642081E-2</v>
      </c>
      <c r="MH11" s="116">
        <f t="shared" si="121"/>
        <v>3.2305021113243418E-2</v>
      </c>
      <c r="MI11" s="116">
        <f t="shared" si="121"/>
        <v>3.1012557743590421E-2</v>
      </c>
      <c r="MJ11" s="116">
        <f t="shared" si="121"/>
        <v>2.972276555674707E-2</v>
      </c>
      <c r="MK11" s="116">
        <f t="shared" si="121"/>
        <v>2.8439694001151178E-2</v>
      </c>
      <c r="ML11" s="116">
        <f t="shared" si="121"/>
        <v>2.7167188486702833E-2</v>
      </c>
      <c r="MM11" s="116">
        <f t="shared" si="121"/>
        <v>2.5908874413260823E-2</v>
      </c>
      <c r="MN11" s="116">
        <f t="shared" si="121"/>
        <v>2.466814367132586E-2</v>
      </c>
      <c r="MO11" s="116">
        <f t="shared" si="121"/>
        <v>2.3448143634664045E-2</v>
      </c>
      <c r="MP11" s="116">
        <f t="shared" si="121"/>
        <v>2.2251768635687463E-2</v>
      </c>
      <c r="MQ11" s="116">
        <f t="shared" si="121"/>
        <v>2.1081653886927752E-2</v>
      </c>
      <c r="MR11" s="116">
        <f t="shared" si="121"/>
        <v>1.9940171786244524E-2</v>
      </c>
      <c r="MS11" s="116">
        <f t="shared" si="121"/>
        <v>1.8829430519784154E-2</v>
      </c>
      <c r="MT11" s="116">
        <f t="shared" si="121"/>
        <v>1.7751274855386037E-2</v>
      </c>
      <c r="MU11" s="116">
        <f t="shared" si="121"/>
        <v>1.6707289000308163E-2</v>
      </c>
      <c r="MV11" s="116">
        <f t="shared" si="121"/>
        <v>1.5698801380951501E-2</v>
      </c>
      <c r="MW11" s="116">
        <f t="shared" si="121"/>
        <v>1.4726891188791167E-2</v>
      </c>
      <c r="MX11" s="116">
        <f t="shared" si="121"/>
        <v>1.3792396526012033E-2</v>
      </c>
      <c r="MY11" s="116">
        <f t="shared" si="121"/>
        <v>1.2895923976390706E-2</v>
      </c>
      <c r="MZ11" s="116">
        <f t="shared" si="121"/>
        <v>1.2037859421715832E-2</v>
      </c>
      <c r="NA11" s="116">
        <f t="shared" si="121"/>
        <v>1.1218379921403206E-2</v>
      </c>
      <c r="NB11" s="116">
        <f t="shared" si="121"/>
        <v>1.0437466472816698E-2</v>
      </c>
      <c r="NC11" s="116">
        <f t="shared" si="121"/>
        <v>9.6949174719916376E-3</v>
      </c>
      <c r="ND11" s="116">
        <f t="shared" si="121"/>
        <v>8.9903626987905445E-3</v>
      </c>
      <c r="NE11" s="116">
        <f t="shared" si="121"/>
        <v>8.3232776567950719E-3</v>
      </c>
      <c r="NF11" s="116">
        <f t="shared" si="121"/>
        <v>7.6929981062300373E-3</v>
      </c>
      <c r="NG11" s="116">
        <f t="shared" si="121"/>
        <v>7.0987346376903378E-3</v>
      </c>
      <c r="NH11" s="116">
        <f t="shared" si="121"/>
        <v>6.5395871451580595E-3</v>
      </c>
      <c r="NI11" s="116">
        <f t="shared" si="121"/>
        <v>6.0145590685111681E-3</v>
      </c>
      <c r="NJ11" s="116">
        <f t="shared" si="121"/>
        <v>5.5225712881955529E-3</v>
      </c>
      <c r="NK11" s="116">
        <f t="shared" si="121"/>
        <v>5.0624755677235291E-3</v>
      </c>
      <c r="NL11" s="116">
        <f t="shared" si="121"/>
        <v>4.6330674529493111E-3</v>
      </c>
      <c r="NM11" s="116">
        <f t="shared" si="121"/>
        <v>4.2330985504425217E-3</v>
      </c>
      <c r="NN11" s="116">
        <f t="shared" si="121"/>
        <v>3.8612881205389578E-3</v>
      </c>
      <c r="NO11" s="116">
        <f t="shared" si="121"/>
        <v>3.5163339336141161E-3</v>
      </c>
      <c r="NP11" s="116">
        <f t="shared" si="121"/>
        <v>3.1969223506404985E-3</v>
      </c>
      <c r="NQ11" s="116">
        <f t="shared" si="121"/>
        <v>2.9017376010159516E-3</v>
      </c>
      <c r="NR11" s="116">
        <f t="shared" si="121"/>
        <v>2.6294702418695505E-3</v>
      </c>
      <c r="NS11" s="116">
        <f t="shared" si="121"/>
        <v>2.3788247934680164E-3</v>
      </c>
      <c r="NT11" s="116">
        <f t="shared" si="121"/>
        <v>2.148526554884319E-3</v>
      </c>
      <c r="NU11" s="116">
        <f t="shared" si="121"/>
        <v>1.93732761269686E-3</v>
      </c>
      <c r="NV11" s="116">
        <f t="shared" si="121"/>
        <v>1.7440120631276796E-3</v>
      </c>
      <c r="NW11" s="116">
        <f t="shared" si="121"/>
        <v>1.5674004746849769E-3</v>
      </c>
      <c r="NX11" s="116">
        <f t="shared" si="121"/>
        <v>1.4063536240499761E-3</v>
      </c>
      <c r="NY11" s="116">
        <f t="shared" ref="NY11:PH11" si="122">MAX(NY8:NY10)</f>
        <v>1.2597755426561801E-3</v>
      </c>
      <c r="NZ11" s="116">
        <f t="shared" si="122"/>
        <v>1.1266159151801754E-3</v>
      </c>
      <c r="OA11" s="116">
        <f t="shared" si="122"/>
        <v>1.0058718740383289E-3</v>
      </c>
      <c r="OB11" s="116">
        <f t="shared" si="122"/>
        <v>8.9658923601396569E-4</v>
      </c>
      <c r="OC11" s="116">
        <f t="shared" si="122"/>
        <v>7.9786322838373022E-4</v>
      </c>
      <c r="OD11" s="116">
        <f t="shared" si="122"/>
        <v>7.0883875243493407E-4</v>
      </c>
      <c r="OE11" s="116">
        <f t="shared" si="122"/>
        <v>6.287102321369969E-4</v>
      </c>
      <c r="OF11" s="116">
        <f t="shared" si="122"/>
        <v>5.5672109502165985E-4</v>
      </c>
      <c r="OG11" s="116">
        <f t="shared" si="122"/>
        <v>4.9216293111184418E-4</v>
      </c>
      <c r="OH11" s="116">
        <f t="shared" si="122"/>
        <v>4.3437437409067831E-4</v>
      </c>
      <c r="OI11" s="116">
        <f t="shared" si="122"/>
        <v>3.8273974689214703E-4</v>
      </c>
      <c r="OJ11" s="116">
        <f t="shared" si="122"/>
        <v>3.3668751159199854E-4</v>
      </c>
      <c r="OK11" s="116">
        <f t="shared" si="122"/>
        <v>2.9568856094785799E-4</v>
      </c>
      <c r="OL11" s="116">
        <f t="shared" si="122"/>
        <v>2.5925438624253047E-4</v>
      </c>
      <c r="OM11" s="116">
        <f t="shared" si="122"/>
        <v>2.26935153281225E-4</v>
      </c>
      <c r="ON11" s="116">
        <f t="shared" si="122"/>
        <v>1.9831771553379898E-4</v>
      </c>
      <c r="OO11" s="116">
        <f t="shared" si="122"/>
        <v>1.7302359054360765E-4</v>
      </c>
      <c r="OP11" s="116">
        <f t="shared" si="122"/>
        <v>1.5070692288616838E-4</v>
      </c>
      <c r="OQ11" s="116">
        <f t="shared" si="122"/>
        <v>1.3105245418911979E-4</v>
      </c>
      <c r="OR11" s="116">
        <f t="shared" si="122"/>
        <v>1.1377351804989074E-4</v>
      </c>
      <c r="OS11" s="116">
        <f t="shared" si="122"/>
        <v>9.861007513387962E-5</v>
      </c>
      <c r="OT11" s="116">
        <f t="shared" si="122"/>
        <v>8.5326801323543791E-5</v>
      </c>
      <c r="OU11" s="116">
        <f t="shared" si="122"/>
        <v>7.3711239532629869E-5</v>
      </c>
      <c r="OV11" s="116">
        <f t="shared" si="122"/>
        <v>6.3572023710536281E-5</v>
      </c>
      <c r="OW11" s="116">
        <f t="shared" si="122"/>
        <v>5.4737181646207341E-5</v>
      </c>
      <c r="OX11" s="116">
        <f t="shared" si="122"/>
        <v>4.7052521442168798E-5</v>
      </c>
      <c r="OY11" s="116">
        <f t="shared" si="122"/>
        <v>4.0380104967372349E-5</v>
      </c>
      <c r="OZ11" s="116">
        <f t="shared" si="122"/>
        <v>3.4596810209729343E-5</v>
      </c>
      <c r="PA11" s="116">
        <f t="shared" si="122"/>
        <v>2.9592983230630012E-5</v>
      </c>
      <c r="PB11" s="116">
        <f t="shared" si="122"/>
        <v>2.5271179367484406E-5</v>
      </c>
      <c r="PC11" s="116">
        <f t="shared" si="122"/>
        <v>2.1544992428013805E-5</v>
      </c>
      <c r="PD11" s="116">
        <f t="shared" si="122"/>
        <v>1.8337969862131877E-5</v>
      </c>
      <c r="PE11" s="116">
        <f t="shared" si="122"/>
        <v>1.5582611273403583E-5</v>
      </c>
      <c r="PF11" s="116">
        <f t="shared" si="122"/>
        <v>1.3219447131343812E-5</v>
      </c>
      <c r="PG11" s="116">
        <f t="shared" si="122"/>
        <v>1.1196194157025461E-5</v>
      </c>
      <c r="PH11" s="116">
        <f t="shared" si="122"/>
        <v>9.4669835663548798E-6</v>
      </c>
    </row>
    <row r="12" spans="1:425" ht="18.5" customHeight="1">
      <c r="A12" s="170" t="s">
        <v>639</v>
      </c>
      <c r="B12" s="171">
        <v>90</v>
      </c>
      <c r="C12" s="172" t="s">
        <v>632</v>
      </c>
      <c r="D12" s="173">
        <f>IF(ISNUMBER(B12),($G$7+B12)-1,"")</f>
        <v>46112</v>
      </c>
      <c r="H12" s="3"/>
      <c r="I12" s="3"/>
      <c r="J12" s="3"/>
      <c r="K12" s="3"/>
      <c r="L12" s="3"/>
      <c r="M12" s="3"/>
      <c r="N12" s="3"/>
      <c r="O12" s="3"/>
      <c r="P12" s="3"/>
      <c r="Q12" s="3"/>
      <c r="R12" s="3"/>
      <c r="S12" s="3"/>
      <c r="T12" s="3"/>
      <c r="U12" s="3"/>
    </row>
    <row r="13" spans="1:425" ht="18.5" customHeight="1">
      <c r="A13" s="174" t="s">
        <v>640</v>
      </c>
      <c r="B13" s="157">
        <v>92</v>
      </c>
      <c r="C13" s="159" t="s">
        <v>633</v>
      </c>
      <c r="D13" s="175">
        <f>IF(ISNUMBER(B13),($G$7+B13)-1,"")</f>
        <v>46114</v>
      </c>
      <c r="H13" s="3"/>
      <c r="I13" s="3"/>
      <c r="J13" s="3"/>
      <c r="K13" s="3"/>
      <c r="L13" s="3"/>
      <c r="M13" s="3"/>
      <c r="N13" s="3"/>
      <c r="O13" s="3"/>
      <c r="P13" s="3"/>
      <c r="Q13" s="3"/>
      <c r="R13" s="3"/>
      <c r="S13" s="3"/>
      <c r="T13" s="3"/>
      <c r="U13" s="3"/>
    </row>
    <row r="14" spans="1:425" ht="18.5" customHeight="1" thickBot="1">
      <c r="A14" s="176" t="s">
        <v>634</v>
      </c>
      <c r="B14" s="167">
        <f>IF(OR(B12="",B13=""),"",(B13-B12)+1)</f>
        <v>3</v>
      </c>
      <c r="C14" s="177"/>
      <c r="D14" s="178"/>
      <c r="H14" s="3"/>
      <c r="I14" s="3"/>
      <c r="J14" s="3"/>
      <c r="K14" s="3"/>
      <c r="L14" s="3"/>
      <c r="M14" s="3"/>
      <c r="N14" s="3"/>
      <c r="O14" s="3"/>
      <c r="P14" s="3"/>
      <c r="Q14" s="3"/>
      <c r="R14" s="3"/>
      <c r="S14" s="3"/>
      <c r="T14" s="3"/>
      <c r="U14" s="3"/>
    </row>
    <row r="15" spans="1:425">
      <c r="A15" s="3"/>
      <c r="H15" s="3"/>
      <c r="I15" s="3"/>
      <c r="J15" s="3"/>
      <c r="K15" s="3"/>
      <c r="L15" s="3"/>
      <c r="M15" s="3"/>
      <c r="N15" s="3"/>
      <c r="O15" s="3"/>
      <c r="P15" s="3"/>
      <c r="Q15" s="3"/>
      <c r="R15" s="3"/>
      <c r="S15" s="3"/>
      <c r="T15" s="3"/>
      <c r="U15" s="3"/>
    </row>
    <row r="16" spans="1:425" ht="15.75">
      <c r="A16" s="3"/>
      <c r="B16" s="3"/>
      <c r="C16" s="17" t="s">
        <v>620</v>
      </c>
      <c r="D16" s="129">
        <v>0.5</v>
      </c>
      <c r="H16" s="3"/>
      <c r="I16" s="3"/>
      <c r="J16" s="3"/>
      <c r="K16" s="3"/>
      <c r="L16" s="3"/>
      <c r="M16" s="3"/>
      <c r="N16" s="3"/>
      <c r="O16" s="3"/>
      <c r="P16" s="3"/>
      <c r="Q16" s="3"/>
      <c r="R16" s="3"/>
      <c r="S16" s="3"/>
      <c r="T16" s="3"/>
      <c r="U16" s="3"/>
    </row>
    <row r="17" spans="1:21" ht="15.75">
      <c r="A17" s="3"/>
      <c r="C17" s="17" t="s">
        <v>621</v>
      </c>
      <c r="D17" s="54">
        <f>IF(AND(D16&gt;0,D16&lt;1,NOT(J5="")),_xlfn.NORM.INV((1-$D$16)/2,$G$5,$J$5),"")</f>
        <v>87.273877898509767</v>
      </c>
      <c r="E17" s="21"/>
      <c r="F17" s="23"/>
      <c r="G17" s="3"/>
      <c r="H17" s="3"/>
      <c r="I17" s="3"/>
      <c r="J17" s="3"/>
      <c r="K17" s="3"/>
      <c r="L17" s="3"/>
      <c r="M17" s="3"/>
      <c r="N17" s="3"/>
      <c r="O17" s="3"/>
      <c r="P17" s="3"/>
      <c r="Q17" s="3"/>
      <c r="R17" s="3"/>
      <c r="S17" s="3"/>
      <c r="T17" s="3"/>
      <c r="U17" s="3"/>
    </row>
    <row r="18" spans="1:21" ht="15.75">
      <c r="A18" s="3"/>
      <c r="B18" s="3"/>
      <c r="C18" s="17" t="s">
        <v>38</v>
      </c>
      <c r="D18" s="54">
        <f>IF(AND(D16&gt;0,D16&lt;1,NOT(J5="")),_xlfn.NORM.INV(($D$16+(1-$D$16)/2),$G$5,$J$5),"")</f>
        <v>97.526122101490216</v>
      </c>
      <c r="E18" s="22"/>
      <c r="F18" s="2"/>
      <c r="G18" s="3"/>
      <c r="H18" s="3"/>
      <c r="I18" s="3"/>
      <c r="J18" s="3"/>
      <c r="K18" s="3"/>
      <c r="L18" s="3"/>
      <c r="M18" s="3"/>
      <c r="N18" s="3"/>
      <c r="O18" s="3"/>
      <c r="P18" s="3"/>
      <c r="Q18" s="3"/>
      <c r="R18" s="3"/>
      <c r="S18" s="3"/>
      <c r="T18" s="3"/>
      <c r="U18" s="3"/>
    </row>
    <row r="19" spans="1:21" ht="15.75">
      <c r="A19" s="3"/>
      <c r="C19" s="17" t="s">
        <v>634</v>
      </c>
      <c r="D19" s="147">
        <f>(D18-D17)+1</f>
        <v>11.252244202980449</v>
      </c>
      <c r="E19" s="22"/>
      <c r="F19" s="2"/>
      <c r="G19" s="3"/>
      <c r="H19" s="3"/>
      <c r="I19" s="3"/>
      <c r="J19" s="3"/>
      <c r="K19" s="3"/>
      <c r="L19" s="3"/>
      <c r="M19" s="3"/>
      <c r="N19" s="3"/>
      <c r="O19" s="3"/>
      <c r="P19" s="3"/>
      <c r="Q19" s="3"/>
      <c r="R19" s="3"/>
      <c r="S19" s="3"/>
      <c r="T19" s="3"/>
      <c r="U19" s="3"/>
    </row>
    <row r="20" spans="1:21" ht="16.899999999999999">
      <c r="A20" s="3"/>
      <c r="B20" s="3"/>
      <c r="C20" s="17"/>
      <c r="D20" s="25"/>
      <c r="E20" s="22"/>
      <c r="F20" s="2"/>
      <c r="G20" s="3"/>
      <c r="H20" s="3"/>
      <c r="I20" s="3"/>
      <c r="J20" s="3"/>
      <c r="K20" s="3"/>
      <c r="L20" s="3"/>
      <c r="M20" s="3"/>
      <c r="N20" s="3"/>
      <c r="O20" s="3"/>
      <c r="P20" s="3"/>
      <c r="Q20" s="3"/>
      <c r="R20" s="3"/>
      <c r="S20" s="3"/>
      <c r="T20" s="3"/>
      <c r="U20" s="3"/>
    </row>
    <row r="21" spans="1:21" ht="15.75">
      <c r="A21" s="3"/>
      <c r="B21" s="3"/>
      <c r="C21" s="55" t="s">
        <v>12</v>
      </c>
      <c r="D21" s="128">
        <v>90</v>
      </c>
      <c r="E21" s="22"/>
      <c r="F21" s="29" t="s">
        <v>14</v>
      </c>
      <c r="G21" s="3"/>
      <c r="H21" s="3"/>
      <c r="I21" s="3"/>
      <c r="J21" s="3"/>
      <c r="K21" s="3"/>
      <c r="L21" s="3"/>
      <c r="M21" s="3"/>
      <c r="N21" s="3"/>
      <c r="O21" s="3"/>
      <c r="P21" s="3"/>
      <c r="Q21" s="3"/>
      <c r="R21" s="3"/>
      <c r="S21" s="3"/>
      <c r="T21" s="3"/>
      <c r="U21" s="3"/>
    </row>
    <row r="22" spans="1:21" ht="15.75">
      <c r="A22" s="3"/>
      <c r="B22" s="3"/>
      <c r="C22" s="55" t="s">
        <v>13</v>
      </c>
      <c r="D22" s="128">
        <v>92</v>
      </c>
      <c r="E22" s="22"/>
      <c r="F22" s="29" t="s">
        <v>15</v>
      </c>
      <c r="G22" s="3"/>
      <c r="H22" s="3"/>
      <c r="I22" s="3"/>
      <c r="J22" s="3"/>
      <c r="K22" s="3"/>
      <c r="L22" s="3"/>
      <c r="M22" s="3"/>
      <c r="N22" s="3"/>
      <c r="O22" s="3"/>
      <c r="P22" s="3"/>
      <c r="Q22" s="3"/>
      <c r="R22" s="3"/>
      <c r="S22" s="3"/>
      <c r="T22" s="3"/>
      <c r="U22" s="3"/>
    </row>
    <row r="23" spans="1:21" ht="16.899999999999999">
      <c r="A23" s="3"/>
      <c r="B23" s="3"/>
      <c r="C23" s="55" t="s">
        <v>39</v>
      </c>
      <c r="D23" s="26">
        <f>IF(AND($D$21&gt;0,$D$22&gt;0,$D$21&lt;$D$22,NOT(J5="")),_xlfn.NORM.DIST($D$22,$G$5,$J$5,TRUE)-_xlfn.NORM.DIST($D$21,$G$5,$J$5,TRUE),"")</f>
        <v>0.10293157354631011</v>
      </c>
      <c r="E23" s="22"/>
      <c r="F23" s="29" t="s">
        <v>28</v>
      </c>
      <c r="G23" s="3"/>
      <c r="H23" s="3"/>
      <c r="I23" s="3"/>
      <c r="J23" s="3"/>
      <c r="K23" s="3"/>
      <c r="L23" s="3"/>
      <c r="M23" s="3"/>
      <c r="N23" s="3"/>
      <c r="O23" s="3"/>
      <c r="P23" s="3"/>
      <c r="Q23" s="3"/>
      <c r="R23" s="3"/>
      <c r="S23" s="3"/>
      <c r="T23" s="3"/>
      <c r="U23" s="3"/>
    </row>
    <row r="24" spans="1:21" ht="16.899999999999999">
      <c r="A24" s="3"/>
      <c r="B24" s="3"/>
      <c r="C24" s="55" t="s">
        <v>93</v>
      </c>
      <c r="D24" s="28">
        <f>IF(AND($D$21&gt;0,$D$22&gt;0,$D$21&lt;$D$22,NOT($J$5="")),_xlfn.NORM.DIST(D21,$G$5,$J$5,TRUE),"")</f>
        <v>0.37608115418902732</v>
      </c>
      <c r="E24" s="22"/>
      <c r="F24" s="29" t="s">
        <v>29</v>
      </c>
      <c r="G24" s="3"/>
      <c r="H24" s="3"/>
      <c r="I24" s="3"/>
      <c r="J24" s="3"/>
      <c r="K24" s="3"/>
      <c r="L24" s="3"/>
      <c r="M24" s="3"/>
      <c r="N24" s="3"/>
      <c r="O24" s="3"/>
      <c r="P24" s="3"/>
      <c r="Q24" s="3"/>
      <c r="R24" s="3"/>
      <c r="S24" s="3"/>
      <c r="T24" s="3"/>
      <c r="U24" s="3"/>
    </row>
    <row r="25" spans="1:21" ht="16.899999999999999">
      <c r="A25" s="3"/>
      <c r="B25" s="3"/>
      <c r="C25" s="55" t="s">
        <v>94</v>
      </c>
      <c r="D25" s="27">
        <f>IF(AND($D$21&gt;0,$D$22&gt;0,$D$21&lt;$D$22,NOT($J$5="")),1-_xlfn.NORM.DIST(D22,$G$5,$J$5,TRUE),"")</f>
        <v>0.52098727226466257</v>
      </c>
      <c r="E25" s="22"/>
      <c r="F25" s="29" t="s">
        <v>27</v>
      </c>
      <c r="G25" s="3"/>
      <c r="H25" s="3"/>
      <c r="I25" s="3"/>
      <c r="J25" s="3"/>
      <c r="K25" s="3"/>
      <c r="L25" s="3"/>
      <c r="M25" s="3"/>
      <c r="N25" s="3"/>
      <c r="O25" s="3"/>
      <c r="P25" s="3"/>
      <c r="Q25" s="3"/>
      <c r="R25" s="3"/>
      <c r="S25" s="3"/>
      <c r="T25" s="3"/>
      <c r="U25" s="3"/>
    </row>
    <row r="26" spans="1:21">
      <c r="A26" s="3"/>
      <c r="B26" s="3"/>
      <c r="C26" s="17"/>
      <c r="D26" s="17"/>
      <c r="E26" s="2"/>
      <c r="F26" s="2"/>
      <c r="G26" s="3"/>
      <c r="H26" s="3"/>
      <c r="I26" s="3"/>
      <c r="J26" s="3"/>
      <c r="K26" s="3"/>
      <c r="L26" s="3"/>
      <c r="M26" s="3"/>
      <c r="N26" s="3"/>
      <c r="O26" s="3"/>
      <c r="P26" s="3"/>
      <c r="Q26" s="3"/>
      <c r="R26" s="3"/>
      <c r="S26" s="3"/>
      <c r="T26" s="3"/>
      <c r="U26" s="3"/>
    </row>
    <row r="27" spans="1:21">
      <c r="A27" s="2"/>
      <c r="B27" s="3"/>
      <c r="C27" s="3"/>
      <c r="D27" s="3"/>
      <c r="E27" s="2"/>
      <c r="F27" s="2"/>
      <c r="G27" s="3"/>
      <c r="H27" s="2"/>
      <c r="I27" s="2"/>
      <c r="J27" s="3"/>
      <c r="K27" s="3"/>
      <c r="L27" s="3"/>
      <c r="M27" s="3"/>
      <c r="N27" s="3"/>
      <c r="O27" s="3"/>
      <c r="P27" s="3"/>
      <c r="Q27" s="3"/>
      <c r="R27" s="3"/>
      <c r="S27" s="3"/>
      <c r="T27" s="3"/>
      <c r="U27" s="3"/>
    </row>
    <row r="28" spans="1:21">
      <c r="A28" s="2"/>
      <c r="B28" s="7" t="str">
        <f>CONCATENATE("Version ",'Change Log'!$B$3," – © 2022-",YEAR('Change Log'!$A$3),IF('Change Log'!$C$3="William W. Davis",", William W. Davis, MSPM, PMP",CONCATENATE(", original copyright holder is William W. Davis, MSPM, PMP; later modified by ",'Change Log'!$C$3)))</f>
        <v>Version 1.4 – © 2022-2025, William W. Davis, MSPM, PMP</v>
      </c>
      <c r="C28" s="3"/>
      <c r="D28" s="3"/>
      <c r="E28" s="3"/>
      <c r="F28" s="2"/>
      <c r="G28" s="2"/>
      <c r="H28" s="3"/>
      <c r="I28" s="3"/>
      <c r="J28" s="2"/>
      <c r="K28" s="2"/>
      <c r="L28" s="3"/>
      <c r="M28" s="3"/>
      <c r="N28" s="3"/>
      <c r="O28" s="3"/>
      <c r="P28" s="3"/>
      <c r="Q28" s="3"/>
      <c r="R28" s="3"/>
      <c r="S28" s="3"/>
      <c r="T28" s="3"/>
      <c r="U28" s="3"/>
    </row>
    <row r="29" spans="1:21">
      <c r="A29" s="2"/>
      <c r="B29" s="226" t="s">
        <v>49</v>
      </c>
      <c r="C29" s="226"/>
      <c r="D29" s="226"/>
      <c r="E29" s="226"/>
      <c r="F29" s="226"/>
      <c r="G29" s="226"/>
      <c r="H29" s="226"/>
      <c r="I29" s="68"/>
      <c r="J29" s="2"/>
      <c r="K29" s="2"/>
      <c r="L29" s="3"/>
      <c r="M29" s="3"/>
      <c r="N29" s="3"/>
      <c r="O29" s="3"/>
      <c r="P29" s="3"/>
      <c r="Q29" s="3"/>
      <c r="R29" s="3"/>
      <c r="S29" s="3"/>
      <c r="T29" s="3"/>
      <c r="U29" s="3"/>
    </row>
    <row r="30" spans="1:21">
      <c r="A30" s="2"/>
      <c r="B30" s="226" t="s">
        <v>50</v>
      </c>
      <c r="C30" s="226"/>
      <c r="D30" s="226"/>
      <c r="E30" s="226"/>
      <c r="F30" s="226"/>
      <c r="G30" s="226"/>
      <c r="H30" s="226"/>
      <c r="I30" s="68"/>
      <c r="J30" s="2"/>
      <c r="K30" s="2"/>
      <c r="L30" s="3"/>
      <c r="M30" s="3"/>
      <c r="N30" s="3"/>
      <c r="O30" s="3"/>
      <c r="P30" s="3"/>
      <c r="Q30" s="3"/>
      <c r="R30" s="3"/>
      <c r="S30" s="3"/>
      <c r="T30" s="3"/>
      <c r="U30" s="3"/>
    </row>
    <row r="31" spans="1:21">
      <c r="A31" s="2"/>
      <c r="B31" s="226" t="s">
        <v>47</v>
      </c>
      <c r="C31" s="226"/>
      <c r="D31" s="226"/>
      <c r="E31" s="226"/>
      <c r="F31" s="226"/>
      <c r="G31" s="226"/>
      <c r="H31" s="226"/>
      <c r="I31" s="68"/>
      <c r="J31" s="2"/>
      <c r="K31" s="2"/>
      <c r="L31" s="3"/>
      <c r="M31" s="3"/>
      <c r="N31" s="3"/>
      <c r="O31" s="3"/>
      <c r="P31" s="3"/>
      <c r="Q31" s="3"/>
      <c r="R31" s="3"/>
      <c r="S31" s="3"/>
      <c r="T31" s="3"/>
      <c r="U31" s="3"/>
    </row>
    <row r="32" spans="1:21">
      <c r="A32" s="2"/>
      <c r="B32" s="226" t="s">
        <v>91</v>
      </c>
      <c r="C32" s="226"/>
      <c r="D32" s="226"/>
      <c r="E32" s="226"/>
      <c r="F32" s="226"/>
      <c r="G32" s="226"/>
      <c r="H32" s="226"/>
      <c r="I32" s="68"/>
      <c r="J32" s="2"/>
      <c r="K32" s="2"/>
      <c r="L32" s="3"/>
      <c r="M32" s="3"/>
      <c r="N32" s="3"/>
      <c r="O32" s="3"/>
      <c r="P32" s="3"/>
      <c r="Q32" s="3"/>
      <c r="R32" s="3"/>
      <c r="S32" s="3"/>
      <c r="T32" s="3"/>
      <c r="U32" s="3"/>
    </row>
    <row r="33" spans="1:21">
      <c r="A33" s="2"/>
      <c r="B33" s="226" t="s">
        <v>826</v>
      </c>
      <c r="C33" s="226"/>
      <c r="D33" s="226"/>
      <c r="E33" s="226"/>
      <c r="F33" s="226"/>
      <c r="G33" s="226"/>
      <c r="H33" s="226"/>
      <c r="I33" s="68"/>
      <c r="J33" s="2"/>
      <c r="K33" s="2"/>
      <c r="L33" s="3"/>
      <c r="M33" s="3"/>
      <c r="N33" s="3"/>
      <c r="O33" s="3"/>
      <c r="P33" s="3"/>
      <c r="Q33" s="3"/>
      <c r="R33" s="3"/>
      <c r="S33" s="3"/>
      <c r="T33" s="3"/>
      <c r="U33" s="3"/>
    </row>
    <row r="34" spans="1:21">
      <c r="A34" s="2"/>
      <c r="B34" s="72" t="s">
        <v>86</v>
      </c>
      <c r="C34" s="3"/>
      <c r="D34" s="3"/>
      <c r="E34" s="3"/>
      <c r="F34" s="2"/>
      <c r="G34" s="2"/>
      <c r="H34" s="3"/>
      <c r="I34" s="3"/>
      <c r="J34" s="2"/>
      <c r="K34" s="2"/>
      <c r="L34" s="3"/>
      <c r="M34" s="3"/>
      <c r="N34" s="3"/>
      <c r="O34" s="3"/>
      <c r="P34" s="3"/>
      <c r="Q34" s="3"/>
      <c r="R34" s="3"/>
      <c r="S34" s="3"/>
      <c r="T34" s="3"/>
      <c r="U34" s="3"/>
    </row>
    <row r="35" spans="1:21">
      <c r="A35" s="2"/>
      <c r="B35" s="72" t="s">
        <v>46</v>
      </c>
      <c r="C35" s="3"/>
      <c r="D35" s="3"/>
      <c r="E35" s="3"/>
      <c r="F35" s="2"/>
      <c r="G35" s="2"/>
      <c r="H35" s="3"/>
      <c r="I35" s="3"/>
      <c r="J35" s="2"/>
      <c r="K35" s="2"/>
      <c r="L35" s="3"/>
      <c r="M35" s="3"/>
      <c r="N35" s="3"/>
      <c r="O35" s="3"/>
      <c r="P35" s="3"/>
      <c r="Q35" s="3"/>
      <c r="R35" s="3"/>
      <c r="S35" s="3"/>
      <c r="T35" s="3"/>
      <c r="U35" s="3"/>
    </row>
    <row r="36" spans="1:21">
      <c r="A36" s="7"/>
      <c r="B36" s="72" t="s">
        <v>85</v>
      </c>
      <c r="C36" s="3"/>
      <c r="D36" s="3"/>
      <c r="E36" s="2"/>
      <c r="F36" s="2"/>
      <c r="G36" s="3"/>
      <c r="H36" s="2"/>
      <c r="I36" s="2"/>
      <c r="J36" s="3"/>
      <c r="K36" s="3"/>
      <c r="L36" s="3"/>
      <c r="M36" s="3"/>
      <c r="N36" s="3"/>
      <c r="O36" s="3"/>
      <c r="P36" s="3"/>
      <c r="Q36" s="3"/>
      <c r="R36" s="3"/>
      <c r="S36" s="3"/>
      <c r="T36" s="3"/>
      <c r="U36" s="3"/>
    </row>
    <row r="37" spans="1:21">
      <c r="A37" s="7"/>
      <c r="B37" s="72" t="s">
        <v>87</v>
      </c>
      <c r="C37" s="3"/>
      <c r="D37" s="3"/>
      <c r="E37" s="2"/>
      <c r="F37" s="2"/>
      <c r="G37" s="3"/>
      <c r="H37" s="2"/>
      <c r="I37" s="2"/>
      <c r="J37" s="3"/>
      <c r="K37" s="3"/>
      <c r="L37" s="3"/>
      <c r="M37" s="3"/>
      <c r="N37" s="3"/>
      <c r="O37" s="3"/>
      <c r="P37" s="3"/>
      <c r="Q37" s="3"/>
      <c r="R37" s="3"/>
      <c r="S37" s="3"/>
      <c r="T37" s="3"/>
      <c r="U37" s="3"/>
    </row>
    <row r="38" spans="1:21">
      <c r="A38" s="7"/>
      <c r="B38" s="72" t="s">
        <v>608</v>
      </c>
      <c r="C38" s="3"/>
      <c r="D38" s="3"/>
      <c r="E38" s="2"/>
      <c r="F38" s="2"/>
      <c r="G38" s="3"/>
      <c r="H38" s="2"/>
      <c r="I38" s="2"/>
      <c r="J38" s="3"/>
      <c r="K38" s="3"/>
      <c r="L38" s="3"/>
      <c r="M38" s="3"/>
      <c r="N38" s="3"/>
      <c r="O38" s="3"/>
      <c r="P38" s="3"/>
      <c r="Q38" s="3"/>
      <c r="R38" s="3"/>
      <c r="S38" s="3"/>
      <c r="T38" s="3"/>
      <c r="U38" s="3"/>
    </row>
    <row r="39" spans="1:21">
      <c r="A39" s="7"/>
      <c r="B39" s="72" t="s">
        <v>609</v>
      </c>
      <c r="C39" s="3"/>
      <c r="D39" s="3"/>
      <c r="E39" s="2"/>
      <c r="F39" s="2"/>
      <c r="G39" s="3"/>
      <c r="H39" s="2"/>
      <c r="I39" s="2"/>
      <c r="J39" s="3"/>
      <c r="K39" s="3"/>
      <c r="L39" s="3"/>
      <c r="M39" s="3"/>
      <c r="N39" s="3"/>
      <c r="O39" s="3"/>
      <c r="P39" s="3"/>
      <c r="Q39" s="3"/>
      <c r="R39" s="3"/>
      <c r="S39" s="3"/>
      <c r="T39" s="3"/>
      <c r="U39" s="3"/>
    </row>
    <row r="40" spans="1:21">
      <c r="B40" s="72"/>
    </row>
    <row r="41" spans="1:21">
      <c r="B41" s="72" t="s">
        <v>610</v>
      </c>
    </row>
    <row r="42" spans="1:21">
      <c r="B42" s="72" t="s">
        <v>45</v>
      </c>
    </row>
    <row r="43" spans="1:21">
      <c r="B43" s="227" t="s">
        <v>613</v>
      </c>
      <c r="C43" s="227"/>
      <c r="D43" s="227"/>
      <c r="E43" s="227"/>
      <c r="F43" s="227"/>
      <c r="G43" s="227"/>
      <c r="H43" s="227"/>
    </row>
    <row r="52" spans="1:9">
      <c r="A52"/>
      <c r="H52"/>
      <c r="I52"/>
    </row>
    <row r="53" spans="1:9">
      <c r="A53"/>
      <c r="H53"/>
      <c r="I53"/>
    </row>
    <row r="54" spans="1:9">
      <c r="A54"/>
      <c r="H54"/>
      <c r="I54"/>
    </row>
    <row r="55" spans="1:9">
      <c r="A55"/>
      <c r="H55"/>
      <c r="I55"/>
    </row>
    <row r="56" spans="1:9">
      <c r="A56"/>
      <c r="H56"/>
      <c r="I56"/>
    </row>
    <row r="57" spans="1:9">
      <c r="A57"/>
      <c r="H57"/>
      <c r="I57"/>
    </row>
    <row r="58" spans="1:9">
      <c r="A58"/>
      <c r="H58"/>
      <c r="I58"/>
    </row>
    <row r="59" spans="1:9">
      <c r="A59"/>
      <c r="H59"/>
      <c r="I59"/>
    </row>
    <row r="60" spans="1:9">
      <c r="A60"/>
      <c r="H60"/>
      <c r="I60"/>
    </row>
    <row r="61" spans="1:9">
      <c r="A61"/>
      <c r="H61"/>
      <c r="I61"/>
    </row>
    <row r="62" spans="1:9">
      <c r="A62"/>
      <c r="H62"/>
      <c r="I62"/>
    </row>
    <row r="63" spans="1:9">
      <c r="A63"/>
      <c r="H63"/>
      <c r="I63"/>
    </row>
    <row r="64" spans="1:9">
      <c r="A64"/>
      <c r="H64"/>
      <c r="I64"/>
    </row>
    <row r="65" spans="1:9">
      <c r="A65"/>
      <c r="H65"/>
      <c r="I65"/>
    </row>
    <row r="66" spans="1:9">
      <c r="A66"/>
      <c r="H66"/>
      <c r="I66"/>
    </row>
    <row r="67" spans="1:9">
      <c r="A67"/>
      <c r="H67"/>
      <c r="I67"/>
    </row>
    <row r="68" spans="1:9">
      <c r="A68"/>
      <c r="H68"/>
      <c r="I68"/>
    </row>
    <row r="69" spans="1:9">
      <c r="A69"/>
      <c r="H69"/>
      <c r="I69"/>
    </row>
    <row r="70" spans="1:9">
      <c r="A70"/>
      <c r="H70"/>
      <c r="I70"/>
    </row>
    <row r="71" spans="1:9">
      <c r="A71"/>
      <c r="H71"/>
      <c r="I71"/>
    </row>
    <row r="72" spans="1:9">
      <c r="A72"/>
      <c r="H72"/>
      <c r="I72"/>
    </row>
    <row r="73" spans="1:9">
      <c r="A73"/>
      <c r="H73"/>
      <c r="I73"/>
    </row>
    <row r="74" spans="1:9">
      <c r="A74"/>
      <c r="H74"/>
      <c r="I74"/>
    </row>
    <row r="75" spans="1:9">
      <c r="A75"/>
      <c r="H75"/>
      <c r="I75"/>
    </row>
    <row r="76" spans="1:9">
      <c r="A76"/>
      <c r="H76"/>
      <c r="I76"/>
    </row>
    <row r="77" spans="1:9">
      <c r="A77"/>
      <c r="H77"/>
      <c r="I77"/>
    </row>
    <row r="78" spans="1:9">
      <c r="A78"/>
      <c r="H78"/>
      <c r="I78"/>
    </row>
    <row r="79" spans="1:9">
      <c r="A79"/>
      <c r="H79"/>
      <c r="I79"/>
    </row>
    <row r="80" spans="1:9">
      <c r="A80"/>
      <c r="H80"/>
      <c r="I80"/>
    </row>
    <row r="81" spans="1:9">
      <c r="A81"/>
      <c r="H81"/>
      <c r="I81"/>
    </row>
    <row r="82" spans="1:9">
      <c r="A82"/>
      <c r="H82"/>
      <c r="I82"/>
    </row>
    <row r="83" spans="1:9">
      <c r="A83"/>
      <c r="H83"/>
      <c r="I83"/>
    </row>
    <row r="84" spans="1:9">
      <c r="A84"/>
      <c r="H84"/>
      <c r="I84"/>
    </row>
    <row r="85" spans="1:9">
      <c r="A85"/>
      <c r="H85"/>
      <c r="I85"/>
    </row>
    <row r="86" spans="1:9">
      <c r="A86"/>
      <c r="H86"/>
      <c r="I86"/>
    </row>
    <row r="87" spans="1:9">
      <c r="A87"/>
      <c r="H87"/>
      <c r="I87"/>
    </row>
    <row r="88" spans="1:9">
      <c r="A88"/>
      <c r="H88"/>
      <c r="I88"/>
    </row>
    <row r="89" spans="1:9">
      <c r="A89"/>
      <c r="H89"/>
      <c r="I89"/>
    </row>
    <row r="90" spans="1:9">
      <c r="A90"/>
      <c r="H90"/>
      <c r="I90"/>
    </row>
    <row r="91" spans="1:9">
      <c r="A91"/>
      <c r="H91"/>
      <c r="I91"/>
    </row>
    <row r="92" spans="1:9">
      <c r="A92"/>
      <c r="H92"/>
      <c r="I92"/>
    </row>
    <row r="93" spans="1:9">
      <c r="A93"/>
      <c r="H93"/>
      <c r="I93"/>
    </row>
    <row r="94" spans="1:9">
      <c r="A94"/>
      <c r="H94"/>
      <c r="I94"/>
    </row>
    <row r="95" spans="1:9">
      <c r="A95"/>
      <c r="H95"/>
      <c r="I95"/>
    </row>
    <row r="96" spans="1:9">
      <c r="A96"/>
      <c r="H96"/>
      <c r="I96"/>
    </row>
    <row r="97" spans="1:9">
      <c r="A97"/>
      <c r="H97"/>
      <c r="I97"/>
    </row>
    <row r="98" spans="1:9">
      <c r="A98"/>
      <c r="H98"/>
      <c r="I98"/>
    </row>
    <row r="99" spans="1:9">
      <c r="A99"/>
      <c r="H99"/>
      <c r="I99"/>
    </row>
    <row r="100" spans="1:9">
      <c r="A100"/>
      <c r="H100"/>
      <c r="I100"/>
    </row>
    <row r="101" spans="1:9">
      <c r="A101"/>
      <c r="H101"/>
      <c r="I101"/>
    </row>
    <row r="102" spans="1:9">
      <c r="A102"/>
      <c r="H102"/>
      <c r="I102"/>
    </row>
    <row r="103" spans="1:9">
      <c r="A103"/>
      <c r="H103"/>
      <c r="I103"/>
    </row>
    <row r="104" spans="1:9">
      <c r="A104"/>
      <c r="H104"/>
      <c r="I104"/>
    </row>
    <row r="105" spans="1:9">
      <c r="A105"/>
      <c r="H105"/>
      <c r="I105"/>
    </row>
    <row r="106" spans="1:9">
      <c r="A106"/>
      <c r="H106"/>
      <c r="I106"/>
    </row>
    <row r="107" spans="1:9">
      <c r="A107"/>
      <c r="H107"/>
      <c r="I107"/>
    </row>
    <row r="108" spans="1:9">
      <c r="A108"/>
      <c r="H108"/>
      <c r="I108"/>
    </row>
    <row r="109" spans="1:9">
      <c r="A109"/>
      <c r="H109"/>
      <c r="I109"/>
    </row>
    <row r="110" spans="1:9">
      <c r="A110"/>
      <c r="H110"/>
      <c r="I110"/>
    </row>
    <row r="111" spans="1:9">
      <c r="A111"/>
      <c r="H111"/>
      <c r="I111"/>
    </row>
    <row r="112" spans="1:9">
      <c r="A112"/>
      <c r="H112"/>
      <c r="I112"/>
    </row>
    <row r="113" spans="1:9">
      <c r="A113"/>
      <c r="H113"/>
      <c r="I113"/>
    </row>
    <row r="114" spans="1:9">
      <c r="A114"/>
      <c r="H114"/>
      <c r="I114"/>
    </row>
    <row r="115" spans="1:9">
      <c r="A115"/>
      <c r="H115"/>
      <c r="I115"/>
    </row>
    <row r="116" spans="1:9">
      <c r="A116"/>
      <c r="H116"/>
      <c r="I116"/>
    </row>
    <row r="117" spans="1:9">
      <c r="A117"/>
      <c r="H117"/>
      <c r="I117"/>
    </row>
    <row r="118" spans="1:9">
      <c r="A118"/>
      <c r="H118"/>
      <c r="I118"/>
    </row>
    <row r="119" spans="1:9">
      <c r="A119"/>
      <c r="H119"/>
      <c r="I119"/>
    </row>
    <row r="120" spans="1:9">
      <c r="A120"/>
      <c r="H120"/>
      <c r="I120"/>
    </row>
    <row r="121" spans="1:9">
      <c r="A121"/>
      <c r="H121"/>
      <c r="I121"/>
    </row>
    <row r="122" spans="1:9">
      <c r="A122"/>
      <c r="H122"/>
      <c r="I122"/>
    </row>
    <row r="123" spans="1:9">
      <c r="A123"/>
      <c r="H123"/>
      <c r="I123"/>
    </row>
    <row r="124" spans="1:9">
      <c r="A124"/>
      <c r="H124"/>
      <c r="I124"/>
    </row>
    <row r="125" spans="1:9">
      <c r="A125"/>
      <c r="H125"/>
      <c r="I125"/>
    </row>
    <row r="126" spans="1:9">
      <c r="A126"/>
      <c r="H126"/>
      <c r="I126"/>
    </row>
    <row r="127" spans="1:9">
      <c r="A127"/>
      <c r="H127"/>
      <c r="I127"/>
    </row>
    <row r="128" spans="1:9">
      <c r="A128"/>
      <c r="H128"/>
      <c r="I128"/>
    </row>
    <row r="129" spans="1:9">
      <c r="A129"/>
      <c r="H129"/>
      <c r="I129"/>
    </row>
    <row r="130" spans="1:9">
      <c r="A130"/>
      <c r="H130"/>
      <c r="I130"/>
    </row>
    <row r="131" spans="1:9">
      <c r="A131"/>
      <c r="H131"/>
      <c r="I131"/>
    </row>
    <row r="132" spans="1:9">
      <c r="A132"/>
      <c r="H132"/>
      <c r="I132"/>
    </row>
    <row r="133" spans="1:9">
      <c r="A133"/>
      <c r="H133"/>
      <c r="I133"/>
    </row>
    <row r="134" spans="1:9">
      <c r="A134"/>
      <c r="H134"/>
      <c r="I134"/>
    </row>
    <row r="135" spans="1:9">
      <c r="A135"/>
      <c r="H135"/>
      <c r="I135"/>
    </row>
    <row r="136" spans="1:9">
      <c r="A136"/>
      <c r="H136"/>
      <c r="I136"/>
    </row>
    <row r="137" spans="1:9">
      <c r="A137"/>
      <c r="H137"/>
      <c r="I137"/>
    </row>
    <row r="138" spans="1:9">
      <c r="A138"/>
      <c r="H138"/>
      <c r="I138"/>
    </row>
    <row r="139" spans="1:9">
      <c r="A139"/>
      <c r="H139"/>
      <c r="I139"/>
    </row>
    <row r="140" spans="1:9">
      <c r="A140"/>
      <c r="H140"/>
      <c r="I140"/>
    </row>
    <row r="141" spans="1:9">
      <c r="A141"/>
      <c r="H141"/>
      <c r="I141"/>
    </row>
    <row r="142" spans="1:9">
      <c r="A142"/>
      <c r="H142"/>
      <c r="I142"/>
    </row>
    <row r="143" spans="1:9">
      <c r="A143"/>
      <c r="H143"/>
      <c r="I143"/>
    </row>
    <row r="144" spans="1:9">
      <c r="A144"/>
      <c r="H144"/>
      <c r="I144"/>
    </row>
    <row r="145" spans="1:9">
      <c r="A145"/>
      <c r="H145"/>
      <c r="I145"/>
    </row>
    <row r="146" spans="1:9">
      <c r="A146"/>
      <c r="H146"/>
      <c r="I146"/>
    </row>
    <row r="147" spans="1:9">
      <c r="A147"/>
      <c r="H147"/>
      <c r="I147"/>
    </row>
    <row r="148" spans="1:9">
      <c r="A148"/>
      <c r="H148"/>
      <c r="I148"/>
    </row>
    <row r="149" spans="1:9">
      <c r="A149"/>
      <c r="H149"/>
      <c r="I149"/>
    </row>
    <row r="150" spans="1:9">
      <c r="A150"/>
      <c r="H150"/>
      <c r="I150"/>
    </row>
    <row r="151" spans="1:9">
      <c r="A151"/>
      <c r="H151"/>
      <c r="I151"/>
    </row>
    <row r="152" spans="1:9">
      <c r="A152"/>
      <c r="H152"/>
      <c r="I152"/>
    </row>
    <row r="153" spans="1:9">
      <c r="A153"/>
      <c r="H153"/>
      <c r="I153"/>
    </row>
    <row r="154" spans="1:9">
      <c r="A154"/>
      <c r="H154"/>
      <c r="I154"/>
    </row>
    <row r="155" spans="1:9">
      <c r="A155"/>
      <c r="H155"/>
      <c r="I155"/>
    </row>
    <row r="156" spans="1:9">
      <c r="A156"/>
      <c r="H156"/>
      <c r="I156"/>
    </row>
    <row r="157" spans="1:9">
      <c r="A157"/>
      <c r="H157"/>
      <c r="I157"/>
    </row>
    <row r="158" spans="1:9">
      <c r="A158"/>
      <c r="H158"/>
      <c r="I158"/>
    </row>
    <row r="159" spans="1:9">
      <c r="A159"/>
      <c r="H159"/>
      <c r="I159"/>
    </row>
    <row r="160" spans="1:9">
      <c r="A160"/>
      <c r="H160"/>
      <c r="I160"/>
    </row>
    <row r="161" spans="1:9">
      <c r="A161"/>
      <c r="H161"/>
      <c r="I161"/>
    </row>
    <row r="162" spans="1:9">
      <c r="A162"/>
      <c r="H162"/>
      <c r="I162"/>
    </row>
    <row r="163" spans="1:9">
      <c r="A163"/>
      <c r="H163"/>
      <c r="I163"/>
    </row>
    <row r="164" spans="1:9">
      <c r="A164"/>
      <c r="H164"/>
      <c r="I164"/>
    </row>
    <row r="165" spans="1:9">
      <c r="A165"/>
      <c r="H165"/>
      <c r="I165"/>
    </row>
    <row r="166" spans="1:9">
      <c r="A166"/>
      <c r="H166"/>
      <c r="I166"/>
    </row>
    <row r="167" spans="1:9">
      <c r="A167"/>
      <c r="H167"/>
      <c r="I167"/>
    </row>
    <row r="168" spans="1:9">
      <c r="A168"/>
      <c r="H168"/>
      <c r="I168"/>
    </row>
    <row r="169" spans="1:9">
      <c r="A169"/>
      <c r="H169"/>
      <c r="I169"/>
    </row>
    <row r="170" spans="1:9">
      <c r="A170"/>
      <c r="H170"/>
      <c r="I170"/>
    </row>
    <row r="171" spans="1:9">
      <c r="A171"/>
      <c r="H171"/>
      <c r="I171"/>
    </row>
    <row r="172" spans="1:9">
      <c r="A172"/>
      <c r="H172"/>
      <c r="I172"/>
    </row>
    <row r="173" spans="1:9">
      <c r="A173"/>
      <c r="H173"/>
      <c r="I173"/>
    </row>
    <row r="174" spans="1:9">
      <c r="A174"/>
      <c r="H174"/>
      <c r="I174"/>
    </row>
    <row r="175" spans="1:9">
      <c r="A175"/>
      <c r="H175"/>
      <c r="I175"/>
    </row>
    <row r="176" spans="1:9">
      <c r="A176"/>
      <c r="H176"/>
      <c r="I176"/>
    </row>
    <row r="177" spans="1:9">
      <c r="A177"/>
      <c r="H177"/>
      <c r="I177"/>
    </row>
    <row r="178" spans="1:9">
      <c r="A178"/>
      <c r="H178"/>
      <c r="I178"/>
    </row>
    <row r="179" spans="1:9">
      <c r="A179"/>
      <c r="H179"/>
      <c r="I179"/>
    </row>
    <row r="180" spans="1:9">
      <c r="A180"/>
      <c r="H180"/>
      <c r="I180"/>
    </row>
    <row r="181" spans="1:9">
      <c r="A181"/>
      <c r="H181"/>
      <c r="I181"/>
    </row>
    <row r="182" spans="1:9">
      <c r="A182"/>
      <c r="H182"/>
      <c r="I182"/>
    </row>
    <row r="183" spans="1:9">
      <c r="A183"/>
      <c r="H183"/>
      <c r="I183"/>
    </row>
    <row r="184" spans="1:9">
      <c r="A184"/>
      <c r="H184"/>
      <c r="I184"/>
    </row>
    <row r="185" spans="1:9">
      <c r="A185"/>
      <c r="H185"/>
      <c r="I185"/>
    </row>
    <row r="186" spans="1:9">
      <c r="A186"/>
      <c r="H186"/>
      <c r="I186"/>
    </row>
    <row r="187" spans="1:9">
      <c r="A187"/>
      <c r="H187"/>
      <c r="I187"/>
    </row>
    <row r="188" spans="1:9">
      <c r="A188"/>
      <c r="H188"/>
      <c r="I188"/>
    </row>
    <row r="189" spans="1:9">
      <c r="A189"/>
      <c r="H189"/>
      <c r="I189"/>
    </row>
    <row r="190" spans="1:9">
      <c r="A190"/>
      <c r="H190"/>
      <c r="I190"/>
    </row>
    <row r="191" spans="1:9">
      <c r="A191"/>
      <c r="H191"/>
      <c r="I191"/>
    </row>
    <row r="192" spans="1:9">
      <c r="A192"/>
      <c r="H192"/>
      <c r="I192"/>
    </row>
    <row r="193" spans="1:9">
      <c r="A193"/>
      <c r="H193"/>
      <c r="I193"/>
    </row>
    <row r="194" spans="1:9">
      <c r="A194"/>
      <c r="H194"/>
      <c r="I194"/>
    </row>
    <row r="195" spans="1:9">
      <c r="A195"/>
      <c r="H195"/>
      <c r="I195"/>
    </row>
    <row r="196" spans="1:9">
      <c r="A196"/>
      <c r="H196"/>
      <c r="I196"/>
    </row>
    <row r="197" spans="1:9">
      <c r="A197"/>
      <c r="H197"/>
      <c r="I197"/>
    </row>
    <row r="198" spans="1:9">
      <c r="A198"/>
      <c r="H198"/>
      <c r="I198"/>
    </row>
    <row r="199" spans="1:9">
      <c r="A199"/>
      <c r="H199"/>
      <c r="I199"/>
    </row>
    <row r="200" spans="1:9">
      <c r="A200"/>
      <c r="H200"/>
      <c r="I200"/>
    </row>
    <row r="201" spans="1:9">
      <c r="A201"/>
      <c r="H201"/>
      <c r="I201"/>
    </row>
    <row r="202" spans="1:9">
      <c r="A202"/>
      <c r="H202"/>
      <c r="I202"/>
    </row>
    <row r="203" spans="1:9">
      <c r="A203"/>
      <c r="H203"/>
      <c r="I203"/>
    </row>
    <row r="204" spans="1:9">
      <c r="A204"/>
      <c r="H204"/>
      <c r="I204"/>
    </row>
    <row r="205" spans="1:9">
      <c r="A205"/>
      <c r="H205"/>
      <c r="I205"/>
    </row>
    <row r="206" spans="1:9">
      <c r="A206"/>
      <c r="H206"/>
      <c r="I206"/>
    </row>
    <row r="209" spans="1:9">
      <c r="A209"/>
      <c r="H209"/>
      <c r="I209"/>
    </row>
    <row r="210" spans="1:9">
      <c r="A210"/>
      <c r="H210"/>
      <c r="I210"/>
    </row>
    <row r="211" spans="1:9">
      <c r="A211"/>
      <c r="H211"/>
      <c r="I211"/>
    </row>
    <row r="212" spans="1:9">
      <c r="A212"/>
      <c r="H212"/>
      <c r="I212"/>
    </row>
    <row r="213" spans="1:9">
      <c r="A213"/>
      <c r="H213"/>
      <c r="I213"/>
    </row>
    <row r="214" spans="1:9">
      <c r="A214"/>
      <c r="H214"/>
      <c r="I214"/>
    </row>
    <row r="215" spans="1:9">
      <c r="A215"/>
      <c r="H215"/>
      <c r="I215"/>
    </row>
    <row r="216" spans="1:9">
      <c r="A216"/>
      <c r="H216"/>
      <c r="I216"/>
    </row>
    <row r="217" spans="1:9">
      <c r="A217"/>
      <c r="H217"/>
      <c r="I217"/>
    </row>
    <row r="218" spans="1:9">
      <c r="A218"/>
      <c r="H218"/>
      <c r="I218"/>
    </row>
    <row r="219" spans="1:9">
      <c r="A219"/>
      <c r="H219"/>
      <c r="I219"/>
    </row>
    <row r="220" spans="1:9">
      <c r="A220"/>
      <c r="H220"/>
      <c r="I220"/>
    </row>
    <row r="221" spans="1:9">
      <c r="A221"/>
      <c r="H221"/>
      <c r="I221"/>
    </row>
    <row r="222" spans="1:9">
      <c r="A222"/>
      <c r="H222"/>
      <c r="I222"/>
    </row>
    <row r="223" spans="1:9">
      <c r="A223"/>
      <c r="H223"/>
      <c r="I223"/>
    </row>
    <row r="224" spans="1:9">
      <c r="A224"/>
      <c r="H224"/>
      <c r="I224"/>
    </row>
  </sheetData>
  <mergeCells count="10">
    <mergeCell ref="B43:H43"/>
    <mergeCell ref="M2:M3"/>
    <mergeCell ref="N2:N3"/>
    <mergeCell ref="O2:T2"/>
    <mergeCell ref="B7:D7"/>
    <mergeCell ref="B29:H29"/>
    <mergeCell ref="B30:H30"/>
    <mergeCell ref="B31:H31"/>
    <mergeCell ref="B33:H33"/>
    <mergeCell ref="B32:H32"/>
  </mergeCells>
  <conditionalFormatting sqref="E4">
    <cfRule type="iconSet" priority="36">
      <iconSet iconSet="3Symbols2" showValue="0">
        <cfvo type="percent" val="0"/>
        <cfvo type="percent" val="0.5"/>
        <cfvo type="num" val="1"/>
      </iconSet>
    </cfRule>
  </conditionalFormatting>
  <conditionalFormatting sqref="F4">
    <cfRule type="iconSet" priority="37">
      <iconSet showValue="0">
        <cfvo type="percent" val="0"/>
        <cfvo type="num" val="0.2"/>
        <cfvo type="num" val="0.3332"/>
      </iconSet>
    </cfRule>
  </conditionalFormatting>
  <conditionalFormatting sqref="O7:T7">
    <cfRule type="colorScale" priority="2">
      <colorScale>
        <cfvo type="min"/>
        <cfvo type="max"/>
        <color theme="9" tint="0.79998168889431442"/>
        <color theme="9"/>
      </colorScale>
    </cfRule>
  </conditionalFormatting>
  <dataValidations count="1">
    <dataValidation type="decimal" allowBlank="1" showInputMessage="1" showErrorMessage="1" sqref="O3:T3" xr:uid="{58D8974D-5C67-48F3-B99C-C56024D9C415}">
      <formula1>0.0001</formula1>
      <formula2>0.9999</formula2>
    </dataValidation>
  </dataValidations>
  <hyperlinks>
    <hyperlink ref="B29" r:id="rId1" display="Download more FREE Statistical PERT templates at https://www.statisticalpert.com" xr:uid="{EA068561-0A82-4760-A047-3BC935284413}"/>
    <hyperlink ref="B30" r:id="rId2" display="Take a Pluralsight course on Statistical PERT" xr:uid="{D636E0FC-B3AA-4CA1-AF41-3E484025FDFD}"/>
    <hyperlink ref="B31" r:id="rId3" xr:uid="{68FE36B1-35EC-4ADF-9BE7-ACFBC890038B}"/>
    <hyperlink ref="B33" r:id="rId4" display="Follow Statistical PERT on Twitter to learn when new updates are released" xr:uid="{BDF449F8-1E3C-4F89-ABDD-E1132F2B2079}"/>
    <hyperlink ref="B31:H31" r:id="rId5" display="Watch Statistical PERT videos on YouTube " xr:uid="{2E94AF28-6E49-48F1-A666-87F0AB5FF9BB}"/>
    <hyperlink ref="B32:H32" r:id="rId6" display="Connect with or follow me on LinkedIn" xr:uid="{C1620DFF-715A-4EB3-8DF2-9EEA3A3BF20D}"/>
    <hyperlink ref="B30:H30" r:id="rId7" display="Watch a Pluralsight course on Statistical PERT® Normal Edition" xr:uid="{DCACE3EE-665B-477F-9EFD-0687A5124405}"/>
    <hyperlink ref="B43" r:id="rId8" display="See the GNU General Public License for more details (http://www.gnu.org/licenses/)." xr:uid="{1535AC15-EE9F-45B9-8A99-14BE06227AE3}"/>
    <hyperlink ref="B33:H33" r:id="rId9" location="newsletter" display="Subscribe to the SPERT® newsletter for monthly tips, free webinars, and new release notifications" xr:uid="{8C3D7FB0-C4DA-448F-AD09-16E8DECF7BB8}"/>
  </hyperlinks>
  <pageMargins left="0.7" right="0.7" top="0.75" bottom="0.75" header="0.3" footer="0.3"/>
  <drawing r:id="rId10"/>
  <legacyDrawing r:id="rId11"/>
  <extLst>
    <ext xmlns:x14="http://schemas.microsoft.com/office/spreadsheetml/2009/9/main" uri="{78C0D931-6437-407d-A8EE-F0AAD7539E65}">
      <x14:conditionalFormattings>
        <x14:conditionalFormatting xmlns:xm="http://schemas.microsoft.com/office/excel/2006/main">
          <x14:cfRule type="expression" priority="1" id="{5B048BDE-BAEE-45D7-B886-7D5BB2E2D23C}">
            <xm:f>IF($B$7=VLookups!$A$22,TRUE,FALSE)</xm:f>
            <x14:dxf>
              <numFmt numFmtId="9" formatCode="&quot;$&quot;#,##0_);\(&quot;$&quot;#,##0\)"/>
            </x14:dxf>
          </x14:cfRule>
          <xm:sqref>B4:T5</xm:sqref>
        </x14:conditionalFormatting>
        <x14:conditionalFormatting xmlns:xm="http://schemas.microsoft.com/office/excel/2006/main">
          <x14:cfRule type="expression" priority="5" id="{DC342408-8A0A-4A95-96BA-D6B54574A48B}">
            <xm:f>IF($B$7=VLookups!$A$22,TRUE,FALSE)</xm:f>
            <x14:dxf>
              <numFmt numFmtId="9" formatCode="&quot;$&quot;#,##0_);\(&quot;$&quot;#,##0\)"/>
            </x14:dxf>
          </x14:cfRule>
          <xm:sqref>D17:D18</xm:sqref>
        </x14:conditionalFormatting>
        <x14:conditionalFormatting xmlns:xm="http://schemas.microsoft.com/office/excel/2006/main">
          <x14:cfRule type="expression" priority="4" id="{8DDDC33C-7D8B-463D-84B4-25607B57B08B}">
            <xm:f>IF($B$7=VLookups!$A$22,TRUE,FALSE)</xm:f>
            <x14:dxf>
              <numFmt numFmtId="9" formatCode="&quot;$&quot;#,##0_);\(&quot;$&quot;#,##0\)"/>
            </x14:dxf>
          </x14:cfRule>
          <xm:sqref>D21:D22</xm:sqref>
        </x14:conditionalFormatting>
        <x14:conditionalFormatting xmlns:xm="http://schemas.microsoft.com/office/excel/2006/main">
          <x14:cfRule type="expression" priority="17" id="{46FD88D9-2CF8-4D95-89B1-DEEA41AAEC9D}">
            <xm:f>IF($B$7=VLookups!$A$22,TRUE,FALSE)</xm:f>
            <x14:dxf>
              <numFmt numFmtId="9" formatCode="&quot;$&quot;#,##0_);\(&quot;$&quot;#,##0\)"/>
            </x14:dxf>
          </x14:cfRule>
          <xm:sqref>J5:K5</xm:sqref>
        </x14:conditionalFormatting>
        <x14:conditionalFormatting xmlns:xm="http://schemas.microsoft.com/office/excel/2006/main">
          <x14:cfRule type="expression" priority="20" id="{A97CD0A5-AB33-4DE2-8B48-DF4F6346E201}">
            <xm:f>IF($B$7=VLookups!$A$22,TRUE,FALSE)</xm:f>
            <x14:dxf>
              <numFmt numFmtId="9" formatCode="&quot;$&quot;#,##0_);\(&quot;$&quot;#,##0\)"/>
            </x14:dxf>
          </x14:cfRule>
          <xm:sqref>K4</xm:sqref>
        </x14:conditionalFormatting>
        <x14:conditionalFormatting xmlns:xm="http://schemas.microsoft.com/office/excel/2006/main">
          <x14:cfRule type="expression" priority="12" id="{B83B548D-5DBC-412A-989D-F0C09EDD4BEB}">
            <xm:f>IF($B$7=VLookups!$A$22,TRUE,FALSE)</xm:f>
            <x14:dxf>
              <numFmt numFmtId="9" formatCode="&quot;$&quot;#,##0_);\(&quot;$&quot;#,##0\)"/>
            </x14:dxf>
          </x14:cfRule>
          <xm:sqref>M7</xm:sqref>
        </x14:conditionalFormatting>
        <x14:conditionalFormatting xmlns:xm="http://schemas.microsoft.com/office/excel/2006/main">
          <x14:cfRule type="expression" priority="6" id="{CF598E32-6DB9-4C5C-9A35-9A304D6023CC}">
            <xm:f>IF($B$7=VLookups!$A$22,TRUE,FALSE)</xm:f>
            <x14:dxf>
              <numFmt numFmtId="9" formatCode="&quot;$&quot;#,##0_);\(&quot;$&quot;#,##0\)"/>
            </x14:dxf>
          </x14:cfRule>
          <xm:sqref>O7:T7</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B70AC83E-60D2-4358-87B2-E1407E0B906A}">
          <x14:formula1>
            <xm:f>VLookups!$A$22:$A$23</xm:f>
          </x14:formula1>
          <xm:sqref>B7:D7</xm:sqref>
        </x14:dataValidation>
        <x14:dataValidation type="list" allowBlank="1" showInputMessage="1" showErrorMessage="1" xr:uid="{66AA87A8-6DBD-4CF4-BF66-E5A945528F4E}">
          <x14:formula1>
            <xm:f>VLookups!$A$17:$A$18</xm:f>
          </x14:formula1>
          <xm:sqref>M1</xm:sqref>
        </x14:dataValidation>
        <x14:dataValidation type="list" allowBlank="1" showInputMessage="1" showErrorMessage="1" xr:uid="{1970DDC9-0917-4824-AE2C-90919B43899A}">
          <x14:formula1>
            <xm:f>VLookups!$A$4:$A$13</xm:f>
          </x14:formula1>
          <xm:sqref>I5 H4:H5</xm:sqref>
        </x14:dataValidation>
        <x14:dataValidation type="list" allowBlank="1" showInputMessage="1" showErrorMessage="1" xr:uid="{2630D5FB-47B2-4942-A486-111C29F7780E}">
          <x14:formula1>
            <xm:f>VLookups!$A$27:$A$33</xm:f>
          </x14:formula1>
          <xm:sqref>G10</xm:sqref>
        </x14:dataValidation>
      </x14:dataValidations>
    </ext>
    <ext xmlns:x14="http://schemas.microsoft.com/office/spreadsheetml/2009/9/main" uri="{05C60535-1F16-4fd2-B633-F4F36F0B64E0}">
      <x14:sparklineGroups xmlns:xm="http://schemas.microsoft.com/office/excel/2006/main">
        <x14:sparklineGroup displayEmptyCellsAs="gap" displayHidden="1" xr2:uid="{1371A8EB-5B8D-4470-9BC5-2DEF35BFB74A}">
          <x14:colorSeries theme="1"/>
          <x14:colorNegative rgb="FFD00000"/>
          <x14:colorAxis rgb="FF000000"/>
          <x14:colorMarkers rgb="FFD00000"/>
          <x14:colorFirst rgb="FFD00000"/>
          <x14:colorLast rgb="FFD00000"/>
          <x14:colorHigh rgb="FFD00000"/>
          <x14:colorLow rgb="FFD00000"/>
          <x14:sparklines>
            <x14:sparkline>
              <xm:f>'SPERT® 1921-2025'!HP4:PH4</xm:f>
              <xm:sqref>I4</xm:sqref>
            </x14:sparkline>
          </x14:sparklines>
        </x14:sparklineGroup>
      </x14:sparklineGroup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CEBD6-D8F2-41BB-B712-62322751B0D9}">
  <dimension ref="A1:PI224"/>
  <sheetViews>
    <sheetView showGridLines="0" zoomScaleNormal="100" workbookViewId="0">
      <selection activeCell="B9" sqref="B9"/>
    </sheetView>
  </sheetViews>
  <sheetFormatPr defaultRowHeight="14.25"/>
  <cols>
    <col min="1" max="1" width="14.6640625" style="1" customWidth="1"/>
    <col min="2" max="4" width="14.6640625" customWidth="1"/>
    <col min="5" max="6" width="4.73046875" style="1" customWidth="1"/>
    <col min="7" max="7" width="11.06640625" customWidth="1"/>
    <col min="8" max="8" width="24.19921875" style="1" customWidth="1"/>
    <col min="9" max="9" width="7.73046875" style="1" customWidth="1"/>
    <col min="10" max="11" width="11.73046875" customWidth="1"/>
    <col min="12" max="12" width="13.53125" hidden="1" customWidth="1"/>
    <col min="13" max="13" width="18.9296875" customWidth="1"/>
    <col min="14" max="14" width="10.73046875" customWidth="1"/>
    <col min="15" max="20" width="13.73046875" customWidth="1"/>
    <col min="22" max="223" width="9.1328125" customWidth="1"/>
    <col min="224" max="424" width="8.73046875" customWidth="1"/>
  </cols>
  <sheetData>
    <row r="1" spans="1:425" ht="24" customHeight="1">
      <c r="A1" s="36" t="s">
        <v>844</v>
      </c>
      <c r="C1" s="3"/>
      <c r="D1" s="3"/>
      <c r="E1" s="2"/>
      <c r="F1" s="2"/>
      <c r="G1" s="3"/>
      <c r="H1" s="2"/>
      <c r="I1" s="2"/>
      <c r="J1" s="3"/>
      <c r="K1" s="3"/>
      <c r="L1" s="3"/>
      <c r="M1" s="81" t="s">
        <v>35</v>
      </c>
      <c r="P1" s="181"/>
      <c r="Q1" s="181" t="str">
        <f>VLOOKUP($M$1,VLookups!$A$17:$C$18,3,FALSE)</f>
        <v>Show the likelihood that the SPERT estimates will be EQUAL TO or GREATER THAN an uncertainty</v>
      </c>
      <c r="S1" s="181"/>
      <c r="T1" s="181"/>
      <c r="U1" s="3"/>
    </row>
    <row r="2" spans="1:425" ht="15" customHeight="1">
      <c r="B2" s="9"/>
      <c r="C2" s="9"/>
      <c r="D2" s="9"/>
      <c r="E2" s="10"/>
      <c r="F2" s="10"/>
      <c r="G2" s="9"/>
      <c r="H2" s="10"/>
      <c r="I2" s="10"/>
      <c r="J2" s="3"/>
      <c r="K2" s="3"/>
      <c r="L2" s="3"/>
      <c r="M2" s="228" t="s">
        <v>32</v>
      </c>
      <c r="N2" s="228" t="s">
        <v>33</v>
      </c>
      <c r="O2" s="230" t="s">
        <v>24</v>
      </c>
      <c r="P2" s="231"/>
      <c r="Q2" s="231"/>
      <c r="R2" s="231"/>
      <c r="S2" s="231"/>
      <c r="T2" s="232"/>
      <c r="U2" s="3"/>
      <c r="V2" s="75" t="s">
        <v>55</v>
      </c>
    </row>
    <row r="3" spans="1:425">
      <c r="A3" s="39" t="s">
        <v>638</v>
      </c>
      <c r="B3" s="39" t="s">
        <v>18</v>
      </c>
      <c r="C3" s="39" t="s">
        <v>5</v>
      </c>
      <c r="D3" s="39" t="s">
        <v>19</v>
      </c>
      <c r="E3" s="39"/>
      <c r="F3" s="39"/>
      <c r="G3" s="39" t="s">
        <v>31</v>
      </c>
      <c r="H3" s="39" t="s">
        <v>6</v>
      </c>
      <c r="I3" s="39" t="s">
        <v>52</v>
      </c>
      <c r="J3" s="39" t="s">
        <v>618</v>
      </c>
      <c r="K3" s="39" t="s">
        <v>30</v>
      </c>
      <c r="L3" s="39" t="s">
        <v>41</v>
      </c>
      <c r="M3" s="229"/>
      <c r="N3" s="229"/>
      <c r="O3" s="66">
        <v>0.1</v>
      </c>
      <c r="P3" s="35">
        <v>0.9</v>
      </c>
      <c r="Q3" s="35">
        <v>0.85</v>
      </c>
      <c r="R3" s="35">
        <v>0.8</v>
      </c>
      <c r="S3" s="35">
        <v>0.75</v>
      </c>
      <c r="T3" s="35">
        <v>0.7</v>
      </c>
      <c r="U3" s="3"/>
      <c r="V3" s="75" t="s">
        <v>56</v>
      </c>
      <c r="HP3" s="75" t="s">
        <v>53</v>
      </c>
      <c r="PI3" s="78" t="s">
        <v>635</v>
      </c>
    </row>
    <row r="4" spans="1:425">
      <c r="A4" s="148" t="s">
        <v>841</v>
      </c>
      <c r="B4" s="149">
        <v>64</v>
      </c>
      <c r="C4" s="149">
        <v>90.2</v>
      </c>
      <c r="D4" s="149">
        <v>112</v>
      </c>
      <c r="E4" s="19">
        <f>IF(OR(ISBLANK(C4),ISBLANK(D4),ISBLANK(B4)),"",IF(AND(B4&gt;0,C4&gt;0,D4&gt;0),IF(C4&gt;B4,IF(D4&gt;C4,1,-1),-1)))</f>
        <v>1</v>
      </c>
      <c r="F4" s="19">
        <f>IF(OR(ISBLANK(B4),ISBLANK(C4),ISBLANK(D4)),"",IFERROR(MIN(C4-B4,D4-C4)/MAX(C4-B4,D4-C4),""))</f>
        <v>0.83206106870228991</v>
      </c>
      <c r="G4" s="53">
        <f>IF(AND(B4&gt;0,C4&gt;0,D4&gt;0),(B4+(4*C4)+D4)/6,"")</f>
        <v>89.466666666666654</v>
      </c>
      <c r="H4" s="150" t="s">
        <v>3</v>
      </c>
      <c r="I4" s="39"/>
      <c r="J4" s="151">
        <v>6.8</v>
      </c>
      <c r="K4" s="183">
        <f>IF(AND(B4&gt;0,C4&gt;0,D4&gt;0),IF(ISBLANK(J4),IF(ISBLANK(H4),"",(D4-B4)*VLOOKUP(H4,VLookups!$A$4:$B$13,2,FALSE)),J4),"")</f>
        <v>6.8</v>
      </c>
      <c r="L4" s="152">
        <f>IF(K4="","",K4^2)</f>
        <v>46.239999999999995</v>
      </c>
      <c r="M4" s="64"/>
      <c r="N4" s="153" t="str">
        <f>IF(AND(M4&gt;0,C4&gt;0,NOT(K4="")),ABS(VLOOKUP($M$1,VLookups!$A$17:$B$18,2,FALSE)-_xlfn.NORM.DIST(M4,G4,K4,TRUE)),"")</f>
        <v/>
      </c>
      <c r="O4" s="154">
        <f>IF(AND($B4&gt;0,$C4&gt;0,$D4&gt;0,NOT(ISBLANK($H4))),_xlfn.NORM.INV(ABS(VLOOKUP($M$1,VLookups!$A$17:$B$18,2,FALSE)-O$3),$G4,$K4),"")</f>
        <v>80.752116020963371</v>
      </c>
      <c r="P4" s="155">
        <f>IF(AND($B4&gt;0,$C4&gt;0,$D4&gt;0,NOT(ISBLANK($H4))),_xlfn.NORM.INV(ABS(VLOOKUP($M$1,VLookups!$A$17:$B$18,2,FALSE)-P$3),$G4,$K4),"")</f>
        <v>98.181217312369938</v>
      </c>
      <c r="Q4" s="154">
        <f>IF(AND($B4&gt;0,$C4&gt;0,$D4&gt;0,NOT(ISBLANK($H4))),_xlfn.NORM.INV(ABS(VLOOKUP($M$1,VLookups!$A$17:$B$18,2,FALSE)-Q$3),$G4,$K4),"")</f>
        <v>96.514413715224421</v>
      </c>
      <c r="R4" s="155">
        <f>IF(AND($B4&gt;0,$C4&gt;0,$D4&gt;0,NOT(ISBLANK($H4))),_xlfn.NORM.INV(ABS(VLOOKUP($M$1,VLookups!$A$17:$B$18,2,FALSE)-R$3),$G4,$K4),"")</f>
        <v>95.189691054962481</v>
      </c>
      <c r="S4" s="154">
        <f>IF(AND($B4&gt;0,$C4&gt;0,$D4&gt;0,NOT(ISBLANK($H4))),_xlfn.NORM.INV(ABS(VLOOKUP($M$1,VLookups!$A$17:$B$18,2,FALSE)-S$3),$G4,$K4),"")</f>
        <v>94.053196968000009</v>
      </c>
      <c r="T4" s="155">
        <f>IF(AND($B4&gt;0,$C4&gt;0,$D4&gt;0,NOT(ISBLANK($H4))),_xlfn.NORM.INV(ABS(VLOOKUP($M$1,VLookups!$A$17:$B$18,2,FALSE)-T$3),$G4,$K4),"")</f>
        <v>93.03259015308133</v>
      </c>
      <c r="U4" s="3"/>
      <c r="V4" s="76">
        <f>IF(AND(B4&gt;0,C4&gt;0,D4&gt;0),ABS(B4-D4)/(G10*140),"")</f>
        <v>0.2742857142857143</v>
      </c>
      <c r="W4" s="33">
        <f t="shared" ref="W4:CH4" si="0">IF(ISNONTEXT($V4),X4-$V4,"")</f>
        <v>62.77142857142892</v>
      </c>
      <c r="X4" s="33">
        <f t="shared" si="0"/>
        <v>63.045714285714638</v>
      </c>
      <c r="Y4" s="33">
        <f t="shared" si="0"/>
        <v>63.320000000000356</v>
      </c>
      <c r="Z4" s="33">
        <f t="shared" si="0"/>
        <v>63.594285714286073</v>
      </c>
      <c r="AA4" s="33">
        <f t="shared" si="0"/>
        <v>63.868571428571791</v>
      </c>
      <c r="AB4" s="33">
        <f t="shared" si="0"/>
        <v>64.142857142857508</v>
      </c>
      <c r="AC4" s="33">
        <f t="shared" si="0"/>
        <v>64.417142857143219</v>
      </c>
      <c r="AD4" s="33">
        <f t="shared" si="0"/>
        <v>64.691428571428929</v>
      </c>
      <c r="AE4" s="33">
        <f t="shared" si="0"/>
        <v>64.96571428571464</v>
      </c>
      <c r="AF4" s="33">
        <f t="shared" si="0"/>
        <v>65.24000000000035</v>
      </c>
      <c r="AG4" s="33">
        <f t="shared" si="0"/>
        <v>65.514285714286061</v>
      </c>
      <c r="AH4" s="33">
        <f t="shared" si="0"/>
        <v>65.788571428571771</v>
      </c>
      <c r="AI4" s="33">
        <f t="shared" si="0"/>
        <v>66.062857142857482</v>
      </c>
      <c r="AJ4" s="33">
        <f t="shared" si="0"/>
        <v>66.337142857143192</v>
      </c>
      <c r="AK4" s="33">
        <f t="shared" si="0"/>
        <v>66.611428571428903</v>
      </c>
      <c r="AL4" s="33">
        <f t="shared" si="0"/>
        <v>66.885714285714613</v>
      </c>
      <c r="AM4" s="33">
        <f t="shared" si="0"/>
        <v>67.160000000000323</v>
      </c>
      <c r="AN4" s="33">
        <f t="shared" si="0"/>
        <v>67.434285714286034</v>
      </c>
      <c r="AO4" s="33">
        <f t="shared" si="0"/>
        <v>67.708571428571744</v>
      </c>
      <c r="AP4" s="33">
        <f t="shared" si="0"/>
        <v>67.982857142857455</v>
      </c>
      <c r="AQ4" s="33">
        <f t="shared" si="0"/>
        <v>68.257142857143165</v>
      </c>
      <c r="AR4" s="33">
        <f t="shared" si="0"/>
        <v>68.531428571428876</v>
      </c>
      <c r="AS4" s="33">
        <f t="shared" si="0"/>
        <v>68.805714285714586</v>
      </c>
      <c r="AT4" s="33">
        <f t="shared" si="0"/>
        <v>69.080000000000297</v>
      </c>
      <c r="AU4" s="33">
        <f t="shared" si="0"/>
        <v>69.354285714286007</v>
      </c>
      <c r="AV4" s="33">
        <f t="shared" si="0"/>
        <v>69.628571428571718</v>
      </c>
      <c r="AW4" s="33">
        <f t="shared" si="0"/>
        <v>69.902857142857428</v>
      </c>
      <c r="AX4" s="33">
        <f t="shared" si="0"/>
        <v>70.177142857143139</v>
      </c>
      <c r="AY4" s="33">
        <f t="shared" si="0"/>
        <v>70.451428571428849</v>
      </c>
      <c r="AZ4" s="33">
        <f t="shared" si="0"/>
        <v>70.72571428571456</v>
      </c>
      <c r="BA4" s="33">
        <f t="shared" si="0"/>
        <v>71.00000000000027</v>
      </c>
      <c r="BB4" s="33">
        <f t="shared" si="0"/>
        <v>71.27428571428598</v>
      </c>
      <c r="BC4" s="33">
        <f t="shared" si="0"/>
        <v>71.548571428571691</v>
      </c>
      <c r="BD4" s="33">
        <f t="shared" si="0"/>
        <v>71.822857142857401</v>
      </c>
      <c r="BE4" s="33">
        <f t="shared" si="0"/>
        <v>72.097142857143112</v>
      </c>
      <c r="BF4" s="33">
        <f t="shared" si="0"/>
        <v>72.371428571428822</v>
      </c>
      <c r="BG4" s="33">
        <f t="shared" si="0"/>
        <v>72.645714285714533</v>
      </c>
      <c r="BH4" s="33">
        <f t="shared" si="0"/>
        <v>72.920000000000243</v>
      </c>
      <c r="BI4" s="33">
        <f t="shared" si="0"/>
        <v>73.194285714285954</v>
      </c>
      <c r="BJ4" s="33">
        <f t="shared" si="0"/>
        <v>73.468571428571664</v>
      </c>
      <c r="BK4" s="33">
        <f t="shared" si="0"/>
        <v>73.742857142857375</v>
      </c>
      <c r="BL4" s="33">
        <f t="shared" si="0"/>
        <v>74.017142857143085</v>
      </c>
      <c r="BM4" s="33">
        <f t="shared" si="0"/>
        <v>74.291428571428796</v>
      </c>
      <c r="BN4" s="33">
        <f t="shared" si="0"/>
        <v>74.565714285714506</v>
      </c>
      <c r="BO4" s="33">
        <f t="shared" si="0"/>
        <v>74.840000000000217</v>
      </c>
      <c r="BP4" s="33">
        <f t="shared" si="0"/>
        <v>75.114285714285927</v>
      </c>
      <c r="BQ4" s="33">
        <f t="shared" si="0"/>
        <v>75.388571428571638</v>
      </c>
      <c r="BR4" s="33">
        <f t="shared" si="0"/>
        <v>75.662857142857348</v>
      </c>
      <c r="BS4" s="33">
        <f t="shared" si="0"/>
        <v>75.937142857143058</v>
      </c>
      <c r="BT4" s="33">
        <f t="shared" si="0"/>
        <v>76.211428571428769</v>
      </c>
      <c r="BU4" s="33">
        <f t="shared" si="0"/>
        <v>76.485714285714479</v>
      </c>
      <c r="BV4" s="33">
        <f t="shared" si="0"/>
        <v>76.76000000000019</v>
      </c>
      <c r="BW4" s="33">
        <f t="shared" si="0"/>
        <v>77.0342857142859</v>
      </c>
      <c r="BX4" s="33">
        <f t="shared" si="0"/>
        <v>77.308571428571611</v>
      </c>
      <c r="BY4" s="33">
        <f t="shared" si="0"/>
        <v>77.582857142857321</v>
      </c>
      <c r="BZ4" s="33">
        <f t="shared" si="0"/>
        <v>77.857142857143032</v>
      </c>
      <c r="CA4" s="33">
        <f t="shared" si="0"/>
        <v>78.131428571428742</v>
      </c>
      <c r="CB4" s="33">
        <f t="shared" si="0"/>
        <v>78.405714285714453</v>
      </c>
      <c r="CC4" s="33">
        <f t="shared" si="0"/>
        <v>78.680000000000163</v>
      </c>
      <c r="CD4" s="33">
        <f t="shared" si="0"/>
        <v>78.954285714285874</v>
      </c>
      <c r="CE4" s="33">
        <f t="shared" si="0"/>
        <v>79.228571428571584</v>
      </c>
      <c r="CF4" s="33">
        <f t="shared" si="0"/>
        <v>79.502857142857295</v>
      </c>
      <c r="CG4" s="33">
        <f t="shared" si="0"/>
        <v>79.777142857143005</v>
      </c>
      <c r="CH4" s="33">
        <f t="shared" si="0"/>
        <v>80.051428571428715</v>
      </c>
      <c r="CI4" s="33">
        <f t="shared" ref="CI4:DQ4" si="1">IF(ISNONTEXT($V4),CJ4-$V4,"")</f>
        <v>80.325714285714426</v>
      </c>
      <c r="CJ4" s="33">
        <f t="shared" si="1"/>
        <v>80.600000000000136</v>
      </c>
      <c r="CK4" s="33">
        <f t="shared" si="1"/>
        <v>80.874285714285847</v>
      </c>
      <c r="CL4" s="33">
        <f t="shared" si="1"/>
        <v>81.148571428571557</v>
      </c>
      <c r="CM4" s="33">
        <f t="shared" si="1"/>
        <v>81.422857142857268</v>
      </c>
      <c r="CN4" s="33">
        <f t="shared" si="1"/>
        <v>81.697142857142978</v>
      </c>
      <c r="CO4" s="33">
        <f t="shared" si="1"/>
        <v>81.971428571428689</v>
      </c>
      <c r="CP4" s="33">
        <f t="shared" si="1"/>
        <v>82.245714285714399</v>
      </c>
      <c r="CQ4" s="33">
        <f t="shared" si="1"/>
        <v>82.52000000000011</v>
      </c>
      <c r="CR4" s="33">
        <f t="shared" si="1"/>
        <v>82.79428571428582</v>
      </c>
      <c r="CS4" s="33">
        <f t="shared" si="1"/>
        <v>83.068571428571531</v>
      </c>
      <c r="CT4" s="33">
        <f t="shared" si="1"/>
        <v>83.342857142857241</v>
      </c>
      <c r="CU4" s="33">
        <f t="shared" si="1"/>
        <v>83.617142857142952</v>
      </c>
      <c r="CV4" s="33">
        <f t="shared" si="1"/>
        <v>83.891428571428662</v>
      </c>
      <c r="CW4" s="33">
        <f t="shared" si="1"/>
        <v>84.165714285714373</v>
      </c>
      <c r="CX4" s="33">
        <f t="shared" si="1"/>
        <v>84.440000000000083</v>
      </c>
      <c r="CY4" s="33">
        <f t="shared" si="1"/>
        <v>84.714285714285793</v>
      </c>
      <c r="CZ4" s="33">
        <f t="shared" si="1"/>
        <v>84.988571428571504</v>
      </c>
      <c r="DA4" s="33">
        <f t="shared" si="1"/>
        <v>85.262857142857214</v>
      </c>
      <c r="DB4" s="33">
        <f t="shared" si="1"/>
        <v>85.537142857142925</v>
      </c>
      <c r="DC4" s="33">
        <f t="shared" si="1"/>
        <v>85.811428571428635</v>
      </c>
      <c r="DD4" s="33">
        <f t="shared" si="1"/>
        <v>86.085714285714346</v>
      </c>
      <c r="DE4" s="33">
        <f t="shared" si="1"/>
        <v>86.360000000000056</v>
      </c>
      <c r="DF4" s="33">
        <f t="shared" si="1"/>
        <v>86.634285714285767</v>
      </c>
      <c r="DG4" s="33">
        <f t="shared" si="1"/>
        <v>86.908571428571477</v>
      </c>
      <c r="DH4" s="33">
        <f t="shared" si="1"/>
        <v>87.182857142857188</v>
      </c>
      <c r="DI4" s="33">
        <f t="shared" si="1"/>
        <v>87.457142857142898</v>
      </c>
      <c r="DJ4" s="33">
        <f t="shared" si="1"/>
        <v>87.731428571428609</v>
      </c>
      <c r="DK4" s="33">
        <f t="shared" si="1"/>
        <v>88.005714285714319</v>
      </c>
      <c r="DL4" s="33">
        <f t="shared" si="1"/>
        <v>88.28000000000003</v>
      </c>
      <c r="DM4" s="33">
        <f t="shared" si="1"/>
        <v>88.55428571428574</v>
      </c>
      <c r="DN4" s="33">
        <f t="shared" si="1"/>
        <v>88.82857142857145</v>
      </c>
      <c r="DO4" s="33">
        <f t="shared" si="1"/>
        <v>89.102857142857161</v>
      </c>
      <c r="DP4" s="33">
        <f t="shared" si="1"/>
        <v>89.377142857142871</v>
      </c>
      <c r="DQ4" s="33">
        <f t="shared" si="1"/>
        <v>89.651428571428582</v>
      </c>
      <c r="DR4" s="33">
        <f>IF(ISNONTEXT($V4),DS4-$V4,"")</f>
        <v>89.925714285714292</v>
      </c>
      <c r="DS4" s="80">
        <f>IF(ISNONTEXT($V4),$C$4,"")</f>
        <v>90.2</v>
      </c>
      <c r="DT4" s="33">
        <f t="shared" ref="DT4:GE4" si="2">IF(ISNONTEXT($V4),DS4+$V4,"")</f>
        <v>90.474285714285713</v>
      </c>
      <c r="DU4" s="33">
        <f t="shared" si="2"/>
        <v>90.748571428571424</v>
      </c>
      <c r="DV4" s="33">
        <f t="shared" si="2"/>
        <v>91.022857142857134</v>
      </c>
      <c r="DW4" s="33">
        <f t="shared" si="2"/>
        <v>91.297142857142845</v>
      </c>
      <c r="DX4" s="33">
        <f t="shared" si="2"/>
        <v>91.571428571428555</v>
      </c>
      <c r="DY4" s="33">
        <f t="shared" si="2"/>
        <v>91.845714285714266</v>
      </c>
      <c r="DZ4" s="33">
        <f t="shared" si="2"/>
        <v>92.119999999999976</v>
      </c>
      <c r="EA4" s="33">
        <f t="shared" si="2"/>
        <v>92.394285714285687</v>
      </c>
      <c r="EB4" s="33">
        <f t="shared" si="2"/>
        <v>92.668571428571397</v>
      </c>
      <c r="EC4" s="33">
        <f t="shared" si="2"/>
        <v>92.942857142857108</v>
      </c>
      <c r="ED4" s="33">
        <f t="shared" si="2"/>
        <v>93.217142857142818</v>
      </c>
      <c r="EE4" s="33">
        <f t="shared" si="2"/>
        <v>93.491428571428528</v>
      </c>
      <c r="EF4" s="33">
        <f t="shared" si="2"/>
        <v>93.765714285714239</v>
      </c>
      <c r="EG4" s="33">
        <f t="shared" si="2"/>
        <v>94.039999999999949</v>
      </c>
      <c r="EH4" s="33">
        <f t="shared" si="2"/>
        <v>94.31428571428566</v>
      </c>
      <c r="EI4" s="33">
        <f t="shared" si="2"/>
        <v>94.58857142857137</v>
      </c>
      <c r="EJ4" s="33">
        <f t="shared" si="2"/>
        <v>94.862857142857081</v>
      </c>
      <c r="EK4" s="33">
        <f t="shared" si="2"/>
        <v>95.137142857142791</v>
      </c>
      <c r="EL4" s="33">
        <f t="shared" si="2"/>
        <v>95.411428571428502</v>
      </c>
      <c r="EM4" s="33">
        <f t="shared" si="2"/>
        <v>95.685714285714212</v>
      </c>
      <c r="EN4" s="33">
        <f t="shared" si="2"/>
        <v>95.959999999999923</v>
      </c>
      <c r="EO4" s="33">
        <f t="shared" si="2"/>
        <v>96.234285714285633</v>
      </c>
      <c r="EP4" s="33">
        <f t="shared" si="2"/>
        <v>96.508571428571344</v>
      </c>
      <c r="EQ4" s="33">
        <f t="shared" si="2"/>
        <v>96.782857142857054</v>
      </c>
      <c r="ER4" s="33">
        <f t="shared" si="2"/>
        <v>97.057142857142765</v>
      </c>
      <c r="ES4" s="33">
        <f t="shared" si="2"/>
        <v>97.331428571428475</v>
      </c>
      <c r="ET4" s="33">
        <f t="shared" si="2"/>
        <v>97.605714285714186</v>
      </c>
      <c r="EU4" s="33">
        <f t="shared" si="2"/>
        <v>97.879999999999896</v>
      </c>
      <c r="EV4" s="33">
        <f t="shared" si="2"/>
        <v>98.154285714285606</v>
      </c>
      <c r="EW4" s="33">
        <f t="shared" si="2"/>
        <v>98.428571428571317</v>
      </c>
      <c r="EX4" s="33">
        <f t="shared" si="2"/>
        <v>98.702857142857027</v>
      </c>
      <c r="EY4" s="33">
        <f t="shared" si="2"/>
        <v>98.977142857142738</v>
      </c>
      <c r="EZ4" s="33">
        <f t="shared" si="2"/>
        <v>99.251428571428448</v>
      </c>
      <c r="FA4" s="33">
        <f t="shared" si="2"/>
        <v>99.525714285714159</v>
      </c>
      <c r="FB4" s="33">
        <f t="shared" si="2"/>
        <v>99.799999999999869</v>
      </c>
      <c r="FC4" s="33">
        <f t="shared" si="2"/>
        <v>100.07428571428558</v>
      </c>
      <c r="FD4" s="33">
        <f t="shared" si="2"/>
        <v>100.34857142857129</v>
      </c>
      <c r="FE4" s="33">
        <f t="shared" si="2"/>
        <v>100.622857142857</v>
      </c>
      <c r="FF4" s="33">
        <f t="shared" si="2"/>
        <v>100.89714285714271</v>
      </c>
      <c r="FG4" s="33">
        <f t="shared" si="2"/>
        <v>101.17142857142842</v>
      </c>
      <c r="FH4" s="33">
        <f t="shared" si="2"/>
        <v>101.44571428571413</v>
      </c>
      <c r="FI4" s="33">
        <f t="shared" si="2"/>
        <v>101.71999999999984</v>
      </c>
      <c r="FJ4" s="33">
        <f t="shared" si="2"/>
        <v>101.99428571428555</v>
      </c>
      <c r="FK4" s="33">
        <f t="shared" si="2"/>
        <v>102.26857142857126</v>
      </c>
      <c r="FL4" s="33">
        <f t="shared" si="2"/>
        <v>102.54285714285697</v>
      </c>
      <c r="FM4" s="33">
        <f t="shared" si="2"/>
        <v>102.81714285714268</v>
      </c>
      <c r="FN4" s="33">
        <f t="shared" si="2"/>
        <v>103.09142857142839</v>
      </c>
      <c r="FO4" s="33">
        <f t="shared" si="2"/>
        <v>103.36571428571411</v>
      </c>
      <c r="FP4" s="33">
        <f t="shared" si="2"/>
        <v>103.63999999999982</v>
      </c>
      <c r="FQ4" s="33">
        <f t="shared" si="2"/>
        <v>103.91428571428553</v>
      </c>
      <c r="FR4" s="33">
        <f t="shared" si="2"/>
        <v>104.18857142857124</v>
      </c>
      <c r="FS4" s="33">
        <f t="shared" si="2"/>
        <v>104.46285714285695</v>
      </c>
      <c r="FT4" s="33">
        <f t="shared" si="2"/>
        <v>104.73714285714266</v>
      </c>
      <c r="FU4" s="33">
        <f t="shared" si="2"/>
        <v>105.01142857142837</v>
      </c>
      <c r="FV4" s="33">
        <f t="shared" si="2"/>
        <v>105.28571428571408</v>
      </c>
      <c r="FW4" s="33">
        <f t="shared" si="2"/>
        <v>105.55999999999979</v>
      </c>
      <c r="FX4" s="33">
        <f t="shared" si="2"/>
        <v>105.8342857142855</v>
      </c>
      <c r="FY4" s="33">
        <f t="shared" si="2"/>
        <v>106.10857142857121</v>
      </c>
      <c r="FZ4" s="33">
        <f t="shared" si="2"/>
        <v>106.38285714285692</v>
      </c>
      <c r="GA4" s="33">
        <f t="shared" si="2"/>
        <v>106.65714285714263</v>
      </c>
      <c r="GB4" s="33">
        <f t="shared" si="2"/>
        <v>106.93142857142834</v>
      </c>
      <c r="GC4" s="33">
        <f t="shared" si="2"/>
        <v>107.20571428571405</v>
      </c>
      <c r="GD4" s="33">
        <f t="shared" si="2"/>
        <v>107.47999999999976</v>
      </c>
      <c r="GE4" s="33">
        <f t="shared" si="2"/>
        <v>107.75428571428547</v>
      </c>
      <c r="GF4" s="33">
        <f t="shared" ref="GF4:HO4" si="3">IF(ISNONTEXT($V4),GE4+$V4,"")</f>
        <v>108.02857142857118</v>
      </c>
      <c r="GG4" s="33">
        <f t="shared" si="3"/>
        <v>108.30285714285689</v>
      </c>
      <c r="GH4" s="33">
        <f t="shared" si="3"/>
        <v>108.5771428571426</v>
      </c>
      <c r="GI4" s="33">
        <f t="shared" si="3"/>
        <v>108.85142857142831</v>
      </c>
      <c r="GJ4" s="33">
        <f t="shared" si="3"/>
        <v>109.12571428571403</v>
      </c>
      <c r="GK4" s="33">
        <f t="shared" si="3"/>
        <v>109.39999999999974</v>
      </c>
      <c r="GL4" s="33">
        <f t="shared" si="3"/>
        <v>109.67428571428545</v>
      </c>
      <c r="GM4" s="33">
        <f t="shared" si="3"/>
        <v>109.94857142857116</v>
      </c>
      <c r="GN4" s="33">
        <f t="shared" si="3"/>
        <v>110.22285714285687</v>
      </c>
      <c r="GO4" s="33">
        <f t="shared" si="3"/>
        <v>110.49714285714258</v>
      </c>
      <c r="GP4" s="33">
        <f t="shared" si="3"/>
        <v>110.77142857142829</v>
      </c>
      <c r="GQ4" s="33">
        <f t="shared" si="3"/>
        <v>111.045714285714</v>
      </c>
      <c r="GR4" s="33">
        <f t="shared" si="3"/>
        <v>111.31999999999971</v>
      </c>
      <c r="GS4" s="33">
        <f t="shared" si="3"/>
        <v>111.59428571428542</v>
      </c>
      <c r="GT4" s="33">
        <f t="shared" si="3"/>
        <v>111.86857142857113</v>
      </c>
      <c r="GU4" s="33">
        <f t="shared" si="3"/>
        <v>112.14285714285684</v>
      </c>
      <c r="GV4" s="33">
        <f t="shared" si="3"/>
        <v>112.41714285714255</v>
      </c>
      <c r="GW4" s="33">
        <f t="shared" si="3"/>
        <v>112.69142857142826</v>
      </c>
      <c r="GX4" s="33">
        <f t="shared" si="3"/>
        <v>112.96571428571397</v>
      </c>
      <c r="GY4" s="33">
        <f t="shared" si="3"/>
        <v>113.23999999999968</v>
      </c>
      <c r="GZ4" s="33">
        <f t="shared" si="3"/>
        <v>113.51428571428539</v>
      </c>
      <c r="HA4" s="33">
        <f t="shared" si="3"/>
        <v>113.7885714285711</v>
      </c>
      <c r="HB4" s="33">
        <f t="shared" si="3"/>
        <v>114.06285714285681</v>
      </c>
      <c r="HC4" s="33">
        <f t="shared" si="3"/>
        <v>114.33714285714252</v>
      </c>
      <c r="HD4" s="33">
        <f t="shared" si="3"/>
        <v>114.61142857142823</v>
      </c>
      <c r="HE4" s="33">
        <f t="shared" si="3"/>
        <v>114.88571428571395</v>
      </c>
      <c r="HF4" s="33">
        <f t="shared" si="3"/>
        <v>115.15999999999966</v>
      </c>
      <c r="HG4" s="33">
        <f t="shared" si="3"/>
        <v>115.43428571428537</v>
      </c>
      <c r="HH4" s="33">
        <f t="shared" si="3"/>
        <v>115.70857142857108</v>
      </c>
      <c r="HI4" s="33">
        <f t="shared" si="3"/>
        <v>115.98285714285679</v>
      </c>
      <c r="HJ4" s="33">
        <f t="shared" si="3"/>
        <v>116.2571428571425</v>
      </c>
      <c r="HK4" s="33">
        <f t="shared" si="3"/>
        <v>116.53142857142821</v>
      </c>
      <c r="HL4" s="33">
        <f t="shared" si="3"/>
        <v>116.80571428571392</v>
      </c>
      <c r="HM4" s="33">
        <f t="shared" si="3"/>
        <v>117.07999999999963</v>
      </c>
      <c r="HN4" s="33">
        <f t="shared" si="3"/>
        <v>117.35428571428534</v>
      </c>
      <c r="HO4" s="33">
        <f t="shared" si="3"/>
        <v>117.62857142857105</v>
      </c>
      <c r="HP4" s="77">
        <f t="shared" ref="HP4:KA4" si="4">IF(ISNONTEXT($K4),_xlfn.NORM.DIST(W4,$G4,$K4,FALSE),NA())</f>
        <v>2.6411860127023769E-5</v>
      </c>
      <c r="HQ4" s="77">
        <f t="shared" si="4"/>
        <v>3.0918356024190582E-5</v>
      </c>
      <c r="HR4" s="77">
        <f t="shared" si="4"/>
        <v>3.6134928534170061E-5</v>
      </c>
      <c r="HS4" s="77">
        <f t="shared" si="4"/>
        <v>4.2162990615244138E-5</v>
      </c>
      <c r="HT4" s="77">
        <f t="shared" si="4"/>
        <v>4.9116681499027982E-5</v>
      </c>
      <c r="HU4" s="77">
        <f t="shared" si="4"/>
        <v>5.7124186284421039E-5</v>
      </c>
      <c r="HV4" s="77">
        <f t="shared" si="4"/>
        <v>6.6329150948258174E-5</v>
      </c>
      <c r="HW4" s="77">
        <f t="shared" si="4"/>
        <v>7.6892193599107796E-5</v>
      </c>
      <c r="HX4" s="77">
        <f t="shared" si="4"/>
        <v>8.8992511754822104E-5</v>
      </c>
      <c r="HY4" s="77">
        <f t="shared" si="4"/>
        <v>1.0282958421137581E-4</v>
      </c>
      <c r="HZ4" s="77">
        <f t="shared" si="4"/>
        <v>1.1862496468227354E-4</v>
      </c>
      <c r="IA4" s="77">
        <f t="shared" si="4"/>
        <v>1.3662416281819885E-4</v>
      </c>
      <c r="IB4" s="77">
        <f t="shared" si="4"/>
        <v>1.5709860646163779E-4</v>
      </c>
      <c r="IC4" s="77">
        <f t="shared" si="4"/>
        <v>1.8034767704957122E-4</v>
      </c>
      <c r="ID4" s="77">
        <f t="shared" si="4"/>
        <v>2.0670080795067187E-4</v>
      </c>
      <c r="IE4" s="77">
        <f t="shared" si="4"/>
        <v>2.3651963321691529E-4</v>
      </c>
      <c r="IF4" s="77">
        <f t="shared" si="4"/>
        <v>2.7020017175222465E-4</v>
      </c>
      <c r="IG4" s="77">
        <f t="shared" si="4"/>
        <v>3.0817502926609231E-4</v>
      </c>
      <c r="IH4" s="77">
        <f t="shared" si="4"/>
        <v>3.509155976062165E-4</v>
      </c>
      <c r="II4" s="77">
        <f t="shared" si="4"/>
        <v>3.989342281742321E-4</v>
      </c>
      <c r="IJ4" s="77">
        <f t="shared" si="4"/>
        <v>4.5278635315117258E-4</v>
      </c>
      <c r="IK4" s="77">
        <f t="shared" si="4"/>
        <v>5.1307252522847784E-4</v>
      </c>
      <c r="IL4" s="77">
        <f t="shared" si="4"/>
        <v>5.8044034349603879E-4</v>
      </c>
      <c r="IM4" s="77">
        <f t="shared" si="4"/>
        <v>6.5558623012650444E-4</v>
      </c>
      <c r="IN4" s="77">
        <f t="shared" si="4"/>
        <v>7.3925701956617366E-4</v>
      </c>
      <c r="IO4" s="77">
        <f t="shared" si="4"/>
        <v>8.3225131915396768E-4</v>
      </c>
      <c r="IP4" s="77">
        <f t="shared" si="4"/>
        <v>9.3542059750312983E-4</v>
      </c>
      <c r="IQ4" s="77">
        <f t="shared" si="4"/>
        <v>1.0496699546618511E-3</v>
      </c>
      <c r="IR4" s="77">
        <f t="shared" si="4"/>
        <v>1.1759585260895328E-3</v>
      </c>
      <c r="IS4" s="77">
        <f t="shared" si="4"/>
        <v>1.3152994709183159E-3</v>
      </c>
      <c r="IT4" s="77">
        <f t="shared" si="4"/>
        <v>1.4687594938907343E-3</v>
      </c>
      <c r="IU4" s="77">
        <f t="shared" si="4"/>
        <v>1.637457849850435E-3</v>
      </c>
      <c r="IV4" s="77">
        <f t="shared" si="4"/>
        <v>1.8225647797902699E-3</v>
      </c>
      <c r="IW4" s="77">
        <f t="shared" si="4"/>
        <v>2.0252993283052323E-3</v>
      </c>
      <c r="IX4" s="77">
        <f t="shared" si="4"/>
        <v>2.246926493927652E-3</v>
      </c>
      <c r="IY4" s="77">
        <f t="shared" si="4"/>
        <v>2.4887536663045782E-3</v>
      </c>
      <c r="IZ4" s="77">
        <f t="shared" si="4"/>
        <v>2.7521263075712373E-3</v>
      </c>
      <c r="JA4" s="77">
        <f t="shared" si="4"/>
        <v>3.0384228396294266E-3</v>
      </c>
      <c r="JB4" s="77">
        <f t="shared" si="4"/>
        <v>3.3490487043947468E-3</v>
      </c>
      <c r="JC4" s="77">
        <f t="shared" si="4"/>
        <v>3.6854295704575788E-3</v>
      </c>
      <c r="JD4" s="77">
        <f t="shared" si="4"/>
        <v>4.0490036670209461E-3</v>
      </c>
      <c r="JE4" s="77">
        <f t="shared" si="4"/>
        <v>4.4412132344287545E-3</v>
      </c>
      <c r="JF4" s="77">
        <f t="shared" si="4"/>
        <v>4.8634950900568125E-3</v>
      </c>
      <c r="JG4" s="77">
        <f t="shared" si="4"/>
        <v>5.3172703187637843E-3</v>
      </c>
      <c r="JH4" s="77">
        <f t="shared" si="4"/>
        <v>5.8039331084258289E-3</v>
      </c>
      <c r="JI4" s="77">
        <f t="shared" si="4"/>
        <v>6.3248387632222026E-3</v>
      </c>
      <c r="JJ4" s="77">
        <f t="shared" si="4"/>
        <v>6.8812909401915973E-3</v>
      </c>
      <c r="JK4" s="77">
        <f t="shared" si="4"/>
        <v>7.4745281680114427E-3</v>
      </c>
      <c r="JL4" s="77">
        <f t="shared" si="4"/>
        <v>8.1057097208122476E-3</v>
      </c>
      <c r="JM4" s="77">
        <f t="shared" si="4"/>
        <v>8.7759009339548281E-3</v>
      </c>
      <c r="JN4" s="77">
        <f t="shared" si="4"/>
        <v>9.4860580628759548E-3</v>
      </c>
      <c r="JO4" s="77">
        <f t="shared" si="4"/>
        <v>1.0237012800138707E-2</v>
      </c>
      <c r="JP4" s="77">
        <f t="shared" si="4"/>
        <v>1.1029456579479688E-2</v>
      </c>
      <c r="JQ4" s="77">
        <f t="shared" si="4"/>
        <v>1.186392480868919E-2</v>
      </c>
      <c r="JR4" s="77">
        <f t="shared" si="4"/>
        <v>1.2740781185342701E-2</v>
      </c>
      <c r="JS4" s="77">
        <f t="shared" si="4"/>
        <v>1.3660202260469821E-2</v>
      </c>
      <c r="JT4" s="77">
        <f t="shared" si="4"/>
        <v>1.4622162424944418E-2</v>
      </c>
      <c r="JU4" s="77">
        <f t="shared" si="4"/>
        <v>1.5626419501456084E-2</v>
      </c>
      <c r="JV4" s="77">
        <f t="shared" si="4"/>
        <v>1.6672501131133867E-2</v>
      </c>
      <c r="JW4" s="77">
        <f t="shared" si="4"/>
        <v>1.7759692148009727E-2</v>
      </c>
      <c r="JX4" s="77">
        <f t="shared" si="4"/>
        <v>1.888702313631839E-2</v>
      </c>
      <c r="JY4" s="77">
        <f t="shared" si="4"/>
        <v>2.0053260364946264E-2</v>
      </c>
      <c r="JZ4" s="77">
        <f t="shared" si="4"/>
        <v>2.1256897290004958E-2</v>
      </c>
      <c r="KA4" s="77">
        <f t="shared" si="4"/>
        <v>2.249614781039088E-2</v>
      </c>
      <c r="KB4" s="77">
        <f t="shared" ref="KB4:MM4" si="5">IF(ISNONTEXT($K4),_xlfn.NORM.DIST(CI4,$G4,$K4,FALSE),NA())</f>
        <v>2.3768941452214341E-2</v>
      </c>
      <c r="KC4" s="77">
        <f t="shared" si="5"/>
        <v>2.507292064609639E-2</v>
      </c>
      <c r="KD4" s="77">
        <f t="shared" si="5"/>
        <v>2.6405440246540717E-2</v>
      </c>
      <c r="KE4" s="77">
        <f t="shared" si="5"/>
        <v>2.7763569424942035E-2</v>
      </c>
      <c r="KF4" s="77">
        <f t="shared" si="5"/>
        <v>2.9144096047393521E-2</v>
      </c>
      <c r="KG4" s="77">
        <f t="shared" si="5"/>
        <v>3.0543533625455439E-2</v>
      </c>
      <c r="KH4" s="77">
        <f t="shared" si="5"/>
        <v>3.1958130902651635E-2</v>
      </c>
      <c r="KI4" s="77">
        <f t="shared" si="5"/>
        <v>3.3383884111923876E-2</v>
      </c>
      <c r="KJ4" s="77">
        <f t="shared" si="5"/>
        <v>3.4816551909900961E-2</v>
      </c>
      <c r="KK4" s="77">
        <f t="shared" si="5"/>
        <v>3.6251672962980076E-2</v>
      </c>
      <c r="KL4" s="77">
        <f t="shared" si="5"/>
        <v>3.7684586128262088E-2</v>
      </c>
      <c r="KM4" s="77">
        <f t="shared" si="5"/>
        <v>3.9110453139759978E-2</v>
      </c>
      <c r="KN4" s="77">
        <f t="shared" si="5"/>
        <v>4.0524283677465203E-2</v>
      </c>
      <c r="KO4" s="77">
        <f t="shared" si="5"/>
        <v>4.1920962664293758E-2</v>
      </c>
      <c r="KP4" s="77">
        <f t="shared" si="5"/>
        <v>4.3295279604136844E-2</v>
      </c>
      <c r="KQ4" s="77">
        <f t="shared" si="5"/>
        <v>4.4641959743712781E-2</v>
      </c>
      <c r="KR4" s="77">
        <f t="shared" si="5"/>
        <v>4.5955696812159781E-2</v>
      </c>
      <c r="KS4" s="77">
        <f t="shared" si="5"/>
        <v>4.7231187065811184E-2</v>
      </c>
      <c r="KT4" s="77">
        <f t="shared" si="5"/>
        <v>4.8463164341827E-2</v>
      </c>
      <c r="KU4" s="77">
        <f t="shared" si="5"/>
        <v>4.9646435803756161E-2</v>
      </c>
      <c r="KV4" s="77">
        <f t="shared" si="5"/>
        <v>5.0775918045075481E-2</v>
      </c>
      <c r="KW4" s="77">
        <f t="shared" si="5"/>
        <v>5.184667320364663E-2</v>
      </c>
      <c r="KX4" s="77">
        <f t="shared" si="5"/>
        <v>5.2853944731152701E-2</v>
      </c>
      <c r="KY4" s="77">
        <f t="shared" si="5"/>
        <v>5.3793192457156642E-2</v>
      </c>
      <c r="KZ4" s="77">
        <f t="shared" si="5"/>
        <v>5.4660126587638302E-2</v>
      </c>
      <c r="LA4" s="77">
        <f t="shared" si="5"/>
        <v>5.5450740282810294E-2</v>
      </c>
      <c r="LB4" s="77">
        <f t="shared" si="5"/>
        <v>5.616134046871081E-2</v>
      </c>
      <c r="LC4" s="77">
        <f t="shared" si="5"/>
        <v>5.6788576551466831E-2</v>
      </c>
      <c r="LD4" s="77">
        <f t="shared" si="5"/>
        <v>5.7329466722083555E-2</v>
      </c>
      <c r="LE4" s="77">
        <f t="shared" si="5"/>
        <v>5.7781421562934303E-2</v>
      </c>
      <c r="LF4" s="77">
        <f t="shared" si="5"/>
        <v>5.8142264694517123E-2</v>
      </c>
      <c r="LG4" s="77">
        <f t="shared" si="5"/>
        <v>5.8410250232155465E-2</v>
      </c>
      <c r="LH4" s="77">
        <f t="shared" si="5"/>
        <v>5.8584076856732906E-2</v>
      </c>
      <c r="LI4" s="77">
        <f t="shared" si="5"/>
        <v>5.8662898340789651E-2</v>
      </c>
      <c r="LJ4" s="77">
        <f t="shared" si="5"/>
        <v>5.8646330410845209E-2</v>
      </c>
      <c r="LK4" s="77">
        <f t="shared" si="5"/>
        <v>5.8534453868081052E-2</v>
      </c>
      <c r="LL4" s="77">
        <f t="shared" si="5"/>
        <v>5.8327813931922719E-2</v>
      </c>
      <c r="LM4" s="77">
        <f t="shared" si="5"/>
        <v>5.8027415813982429E-2</v>
      </c>
      <c r="LN4" s="77">
        <f t="shared" si="5"/>
        <v>5.7634716572638127E-2</v>
      </c>
      <c r="LO4" s="77">
        <f t="shared" si="5"/>
        <v>5.7151613340603848E-2</v>
      </c>
      <c r="LP4" s="77">
        <f t="shared" si="5"/>
        <v>5.6580428058581218E-2</v>
      </c>
      <c r="LQ4" s="77">
        <f t="shared" si="5"/>
        <v>5.5923888886882371E-2</v>
      </c>
      <c r="LR4" s="77">
        <f t="shared" si="5"/>
        <v>5.518510850322874E-2</v>
      </c>
      <c r="LS4" s="77">
        <f t="shared" si="5"/>
        <v>5.436755952824724E-2</v>
      </c>
      <c r="LT4" s="77">
        <f t="shared" si="5"/>
        <v>5.3475047350050139E-2</v>
      </c>
      <c r="LU4" s="77">
        <f t="shared" si="5"/>
        <v>5.2511680645298077E-2</v>
      </c>
      <c r="LV4" s="77">
        <f t="shared" si="5"/>
        <v>5.1481839915981036E-2</v>
      </c>
      <c r="LW4" s="77">
        <f t="shared" si="5"/>
        <v>5.0390144378547663E-2</v>
      </c>
      <c r="LX4" s="77">
        <f t="shared" si="5"/>
        <v>4.9241417554789266E-2</v>
      </c>
      <c r="LY4" s="77">
        <f t="shared" si="5"/>
        <v>4.8040651921933825E-2</v>
      </c>
      <c r="LZ4" s="77">
        <f t="shared" si="5"/>
        <v>4.6792972982700437E-2</v>
      </c>
      <c r="MA4" s="77">
        <f t="shared" si="5"/>
        <v>4.5503603114655122E-2</v>
      </c>
      <c r="MB4" s="77">
        <f t="shared" si="5"/>
        <v>4.4177825552218171E-2</v>
      </c>
      <c r="MC4" s="77">
        <f t="shared" si="5"/>
        <v>4.2820948844296179E-2</v>
      </c>
      <c r="MD4" s="77">
        <f t="shared" si="5"/>
        <v>4.1438272116007875E-2</v>
      </c>
      <c r="ME4" s="77">
        <f t="shared" si="5"/>
        <v>4.0035051444661927E-2</v>
      </c>
      <c r="MF4" s="77">
        <f t="shared" si="5"/>
        <v>3.8616467638397642E-2</v>
      </c>
      <c r="MG4" s="77">
        <f t="shared" si="5"/>
        <v>3.7187595681132259E-2</v>
      </c>
      <c r="MH4" s="77">
        <f t="shared" si="5"/>
        <v>3.5753376080121732E-2</v>
      </c>
      <c r="MI4" s="77">
        <f t="shared" si="5"/>
        <v>3.431858832301328E-2</v>
      </c>
      <c r="MJ4" s="77">
        <f t="shared" si="5"/>
        <v>3.2887826620242838E-2</v>
      </c>
      <c r="MK4" s="77">
        <f t="shared" si="5"/>
        <v>3.1465478076510026E-2</v>
      </c>
      <c r="ML4" s="77">
        <f t="shared" si="5"/>
        <v>3.0055703402350992E-2</v>
      </c>
      <c r="MM4" s="77">
        <f t="shared" si="5"/>
        <v>2.8662420244014872E-2</v>
      </c>
      <c r="MN4" s="77">
        <f t="shared" ref="MN4:OY4" si="6">IF(ISNONTEXT($K4),_xlfn.NORM.DIST(EU4,$G4,$K4,FALSE),NA())</f>
        <v>2.7289289177408398E-2</v>
      </c>
      <c r="MO4" s="77">
        <f t="shared" si="6"/>
        <v>2.5939702380250982E-2</v>
      </c>
      <c r="MP4" s="77">
        <f t="shared" si="6"/>
        <v>2.4616774966197387E-2</v>
      </c>
      <c r="MQ4" s="77">
        <f t="shared" si="6"/>
        <v>2.3323338935911923E-2</v>
      </c>
      <c r="MR4" s="77">
        <f t="shared" si="6"/>
        <v>2.2061939673253067E-2</v>
      </c>
      <c r="MS4" s="77">
        <f t="shared" si="6"/>
        <v>2.0834834890136922E-2</v>
      </c>
      <c r="MT4" s="77">
        <f t="shared" si="6"/>
        <v>1.9643995901530657E-2</v>
      </c>
      <c r="MU4" s="77">
        <f t="shared" si="6"/>
        <v>1.8491111092568881E-2</v>
      </c>
      <c r="MV4" s="77">
        <f t="shared" si="6"/>
        <v>1.7377591423122982E-2</v>
      </c>
      <c r="MW4" s="77">
        <f t="shared" si="6"/>
        <v>1.6304577801367841E-2</v>
      </c>
      <c r="MX4" s="77">
        <f t="shared" si="6"/>
        <v>1.5272950147016993E-2</v>
      </c>
      <c r="MY4" s="77">
        <f t="shared" si="6"/>
        <v>1.4283337956920751E-2</v>
      </c>
      <c r="MZ4" s="77">
        <f t="shared" si="6"/>
        <v>1.3336132180584017E-2</v>
      </c>
      <c r="NA4" s="77">
        <f t="shared" si="6"/>
        <v>1.2431498210760179E-2</v>
      </c>
      <c r="NB4" s="77">
        <f t="shared" si="6"/>
        <v>1.156938979447918E-2</v>
      </c>
      <c r="NC4" s="77">
        <f t="shared" si="6"/>
        <v>1.0749563672500404E-2</v>
      </c>
      <c r="ND4" s="77">
        <f t="shared" si="6"/>
        <v>9.9715947600500197E-3</v>
      </c>
      <c r="NE4" s="77">
        <f t="shared" si="6"/>
        <v>9.2348916885876681E-3</v>
      </c>
      <c r="NF4" s="77">
        <f t="shared" si="6"/>
        <v>8.538712537014952E-3</v>
      </c>
      <c r="NG4" s="77">
        <f t="shared" si="6"/>
        <v>7.8821805909402003E-3</v>
      </c>
      <c r="NH4" s="77">
        <f t="shared" si="6"/>
        <v>7.2642999800978623E-3</v>
      </c>
      <c r="NI4" s="77">
        <f t="shared" si="6"/>
        <v>6.6839710565306217E-3</v>
      </c>
      <c r="NJ4" s="77">
        <f t="shared" si="6"/>
        <v>6.1400053894268168E-3</v>
      </c>
      <c r="NK4" s="77">
        <f t="shared" si="6"/>
        <v>5.631140266317944E-3</v>
      </c>
      <c r="NL4" s="77">
        <f t="shared" si="6"/>
        <v>5.15605260444794E-3</v>
      </c>
      <c r="NM4" s="77">
        <f t="shared" si="6"/>
        <v>4.7133721903049883E-3</v>
      </c>
      <c r="NN4" s="77">
        <f t="shared" si="6"/>
        <v>4.3016941793543022E-3</v>
      </c>
      <c r="NO4" s="77">
        <f t="shared" si="6"/>
        <v>3.9195908017404524E-3</v>
      </c>
      <c r="NP4" s="77">
        <f t="shared" si="6"/>
        <v>3.5656222329748587E-3</v>
      </c>
      <c r="NQ4" s="77">
        <f t="shared" si="6"/>
        <v>3.2383466012439791E-3</v>
      </c>
      <c r="NR4" s="77">
        <f t="shared" si="6"/>
        <v>2.9363291148446448E-3</v>
      </c>
      <c r="NS4" s="77">
        <f t="shared" si="6"/>
        <v>2.6581503042750424E-3</v>
      </c>
      <c r="NT4" s="77">
        <f t="shared" si="6"/>
        <v>2.4024133836052929E-3</v>
      </c>
      <c r="NU4" s="77">
        <f t="shared" si="6"/>
        <v>2.1677507448642375E-3</v>
      </c>
      <c r="NV4" s="77">
        <f t="shared" si="6"/>
        <v>1.9528296072725913E-3</v>
      </c>
      <c r="NW4" s="77">
        <f t="shared" si="6"/>
        <v>1.7563568502105618E-3</v>
      </c>
      <c r="NX4" s="77">
        <f t="shared" si="6"/>
        <v>1.577083064830623E-3</v>
      </c>
      <c r="NY4" s="77">
        <f t="shared" si="6"/>
        <v>1.4138058642303327E-3</v>
      </c>
      <c r="NZ4" s="77">
        <f t="shared" si="6"/>
        <v>1.2653724961163789E-3</v>
      </c>
      <c r="OA4" s="77">
        <f t="shared" si="6"/>
        <v>1.1306818049623523E-3</v>
      </c>
      <c r="OB4" s="77">
        <f t="shared" si="6"/>
        <v>1.0086855928422092E-3</v>
      </c>
      <c r="OC4" s="77">
        <f t="shared" si="6"/>
        <v>8.9838942947035628E-4</v>
      </c>
      <c r="OD4" s="77">
        <f t="shared" si="6"/>
        <v>7.9885296256565193E-4</v>
      </c>
      <c r="OE4" s="77">
        <f t="shared" si="6"/>
        <v>7.0918977955275486E-4</v>
      </c>
      <c r="OF4" s="77">
        <f t="shared" si="6"/>
        <v>6.2856687089550643E-4</v>
      </c>
      <c r="OG4" s="77">
        <f t="shared" si="6"/>
        <v>5.5620374410002716E-4</v>
      </c>
      <c r="OH4" s="77">
        <f t="shared" si="6"/>
        <v>4.9137123570644752E-4</v>
      </c>
      <c r="OI4" s="77">
        <f t="shared" si="6"/>
        <v>4.3339006648279255E-4</v>
      </c>
      <c r="OJ4" s="77">
        <f t="shared" si="6"/>
        <v>3.8162918261512579E-4</v>
      </c>
      <c r="OK4" s="77">
        <f t="shared" si="6"/>
        <v>3.3550392302373878E-4</v>
      </c>
      <c r="OL4" s="77">
        <f t="shared" si="6"/>
        <v>2.9447405009096293E-4</v>
      </c>
      <c r="OM4" s="77">
        <f t="shared" si="6"/>
        <v>2.5804167812217292E-4</v>
      </c>
      <c r="ON4" s="77">
        <f t="shared" si="6"/>
        <v>2.2574913083262742E-4</v>
      </c>
      <c r="OO4" s="77">
        <f t="shared" si="6"/>
        <v>1.9717675610828281E-4</v>
      </c>
      <c r="OP4" s="77">
        <f t="shared" si="6"/>
        <v>1.719407232722018E-4</v>
      </c>
      <c r="OQ4" s="77">
        <f t="shared" si="6"/>
        <v>1.4969082513754055E-4</v>
      </c>
      <c r="OR4" s="77">
        <f t="shared" si="6"/>
        <v>1.301083042754686E-4</v>
      </c>
      <c r="OS4" s="77">
        <f t="shared" si="6"/>
        <v>1.1290372019845632E-4</v>
      </c>
      <c r="OT4" s="77">
        <f t="shared" si="6"/>
        <v>9.7814871577527946E-5</v>
      </c>
      <c r="OU4" s="77">
        <f t="shared" si="6"/>
        <v>8.4604785192787883E-5</v>
      </c>
      <c r="OV4" s="77">
        <f t="shared" si="6"/>
        <v>7.3059781071638499E-5</v>
      </c>
      <c r="OW4" s="77">
        <f t="shared" si="6"/>
        <v>6.2987621206293083E-5</v>
      </c>
      <c r="OX4" s="77">
        <f t="shared" si="6"/>
        <v>5.421574736534685E-5</v>
      </c>
      <c r="OY4" s="77">
        <f t="shared" si="6"/>
        <v>4.6589611823879094E-5</v>
      </c>
      <c r="OZ4" s="77">
        <f t="shared" ref="OZ4:PH4" si="7">IF(ISNONTEXT($K4),_xlfn.NORM.DIST(HG4,$G4,$K4,FALSE),NA())</f>
        <v>3.9971103330492384E-5</v>
      </c>
      <c r="PA4" s="77">
        <f t="shared" si="7"/>
        <v>3.4237069303066742E-5</v>
      </c>
      <c r="PB4" s="77">
        <f t="shared" si="7"/>
        <v>2.9277934090980052E-5</v>
      </c>
      <c r="PC4" s="77">
        <f t="shared" si="7"/>
        <v>2.4996412151645843E-5</v>
      </c>
      <c r="PD4" s="77">
        <f t="shared" si="7"/>
        <v>2.1306314153669125E-5</v>
      </c>
      <c r="PE4" s="77">
        <f t="shared" si="7"/>
        <v>1.8131443327035387E-5</v>
      </c>
      <c r="PF4" s="77">
        <f t="shared" si="7"/>
        <v>1.5404578821190045E-5</v>
      </c>
      <c r="PG4" s="77">
        <f t="shared" si="7"/>
        <v>1.3066542392966041E-5</v>
      </c>
      <c r="PH4" s="77">
        <f t="shared" si="7"/>
        <v>1.1065344416292073E-5</v>
      </c>
    </row>
    <row r="5" spans="1:425" hidden="1">
      <c r="A5" s="2"/>
      <c r="B5" s="61">
        <f>SUM(B4:B4)</f>
        <v>64</v>
      </c>
      <c r="C5" s="61">
        <f>SUM(C4:C4)</f>
        <v>90.2</v>
      </c>
      <c r="D5" s="61">
        <f>SUM(D4:D4)</f>
        <v>112</v>
      </c>
      <c r="E5" s="20"/>
      <c r="F5" s="20"/>
      <c r="G5" s="61">
        <f>SUM(G4:G4)</f>
        <v>89.466666666666654</v>
      </c>
      <c r="H5" s="3"/>
      <c r="I5" s="3"/>
      <c r="J5" s="62">
        <f>IF(K4="","",SQRT(L5))</f>
        <v>6.8</v>
      </c>
      <c r="K5" s="62"/>
      <c r="L5" s="52">
        <f>IF(L4="","",SUM(L4:L4))</f>
        <v>46.239999999999995</v>
      </c>
      <c r="M5" s="61" t="str">
        <f>IF(SUM(M4:M4)=0,"",SUM(M4:M4))</f>
        <v/>
      </c>
      <c r="N5" s="56" t="str">
        <f>IF(OR(J5="",M5=""),"",ABS(VLOOKUP($M$1,VLookups!$A$17:$B$18,2,FALSE)-_xlfn.NORM.DIST(M5,G5,J5,TRUE)))</f>
        <v/>
      </c>
      <c r="O5" s="63">
        <f t="shared" ref="O5:T5" si="8">SUM(O4:O4)</f>
        <v>80.752116020963371</v>
      </c>
      <c r="P5" s="63">
        <f t="shared" si="8"/>
        <v>98.181217312369938</v>
      </c>
      <c r="Q5" s="63">
        <f t="shared" si="8"/>
        <v>96.514413715224421</v>
      </c>
      <c r="R5" s="63">
        <f t="shared" si="8"/>
        <v>95.189691054962481</v>
      </c>
      <c r="S5" s="63">
        <f t="shared" si="8"/>
        <v>94.053196968000009</v>
      </c>
      <c r="T5" s="63">
        <f t="shared" si="8"/>
        <v>93.03259015308133</v>
      </c>
      <c r="U5" s="3"/>
    </row>
    <row r="6" spans="1:425" hidden="1">
      <c r="A6" s="2"/>
      <c r="B6" s="3"/>
      <c r="C6" s="3"/>
      <c r="D6" s="3"/>
      <c r="E6" s="2"/>
      <c r="F6" s="2"/>
      <c r="G6" s="3"/>
      <c r="H6" s="2"/>
      <c r="I6" s="2"/>
      <c r="J6" s="2"/>
      <c r="K6" s="2"/>
      <c r="L6" s="2"/>
      <c r="M6" s="8"/>
      <c r="N6" s="3"/>
      <c r="O6" s="18"/>
      <c r="P6" s="18"/>
      <c r="Q6" s="18"/>
      <c r="R6" s="18"/>
      <c r="S6" s="18"/>
      <c r="T6" s="18"/>
      <c r="U6" s="3"/>
    </row>
    <row r="7" spans="1:425" ht="15.75" hidden="1">
      <c r="A7" s="3"/>
      <c r="B7" s="233" t="s">
        <v>37</v>
      </c>
      <c r="C7" s="234"/>
      <c r="D7" s="235"/>
      <c r="E7" s="3"/>
      <c r="F7" s="3"/>
      <c r="G7" s="146">
        <f>DATE(YEAR(B9),1,1)</f>
        <v>46023</v>
      </c>
      <c r="H7" s="3"/>
      <c r="I7" s="3"/>
      <c r="J7" s="17" t="s">
        <v>44</v>
      </c>
      <c r="K7" s="17"/>
      <c r="L7" s="17"/>
      <c r="M7" s="65">
        <v>1000</v>
      </c>
      <c r="N7" s="24">
        <f>IF(OR(J5="",M7=""),"",ABS(VLOOKUP($M$1,VLookups!$A$17:$B$18,2,FALSE)-_xlfn.NORM.DIST(M7,G5,J5,TRUE)))</f>
        <v>1</v>
      </c>
      <c r="O7" s="46">
        <f>IF($J$5="","",_xlfn.NORM.INV(ABS(VLOOKUP($M$1,VLookups!$A$17:$B$18,2,FALSE)-O$3),$G$5,$J5))</f>
        <v>80.752116020963371</v>
      </c>
      <c r="P7" s="47">
        <f>IF($J$5="","",_xlfn.NORM.INV(ABS(VLOOKUP($M$1,VLookups!$A$17:$B$18,2,FALSE)-P$3),$G$5,$J5))</f>
        <v>98.181217312369938</v>
      </c>
      <c r="Q7" s="48">
        <f>IF($J$5="","",_xlfn.NORM.INV(ABS(VLOOKUP($M$1,VLookups!$A$17:$B$18,2,FALSE)-Q$3),$G$5,$J5))</f>
        <v>96.514413715224421</v>
      </c>
      <c r="R7" s="49">
        <f>IF($J$5="","",_xlfn.NORM.INV(ABS(VLOOKUP($M$1,VLookups!$A$17:$B$18,2,FALSE)-R$3),$G$5,$J5))</f>
        <v>95.189691054962481</v>
      </c>
      <c r="S7" s="50">
        <f>IF($J$5="","",_xlfn.NORM.INV(ABS(VLOOKUP($M$1,VLookups!$A$17:$B$18,2,FALSE)-S$3),$G$5,$J5))</f>
        <v>94.053196968000009</v>
      </c>
      <c r="T7" s="51">
        <f>IF($J$5="","",_xlfn.NORM.INV(ABS(VLOOKUP($M$1,VLookups!$A$17:$B$18,2,FALSE)-T$3),$G$5,$J5))</f>
        <v>93.03259015308133</v>
      </c>
      <c r="U7" s="3"/>
    </row>
    <row r="8" spans="1:425" ht="14.65" thickBot="1">
      <c r="A8" s="3"/>
      <c r="B8" s="3"/>
      <c r="C8" s="3"/>
      <c r="D8" s="3"/>
      <c r="E8" s="2"/>
      <c r="F8" s="2"/>
      <c r="G8" s="3"/>
      <c r="H8" s="145" t="s">
        <v>631</v>
      </c>
      <c r="I8" s="3"/>
      <c r="J8" s="3"/>
      <c r="K8" s="3"/>
      <c r="L8" s="3"/>
      <c r="M8" s="3"/>
      <c r="N8" s="3"/>
      <c r="O8" s="3"/>
      <c r="P8" s="3"/>
      <c r="Q8" s="3"/>
      <c r="R8" s="3"/>
      <c r="S8" s="3"/>
      <c r="T8" s="3"/>
      <c r="U8" s="3"/>
      <c r="HP8" s="99">
        <f t="shared" ref="HP8:KA8" si="9">IF(AND($D$21&gt;0,$D$22&gt;0),IF(OR(W4&lt;$D$21,W4=$D$21),HP4,0),"")</f>
        <v>2.6411860127023769E-5</v>
      </c>
      <c r="HQ8" s="99">
        <f t="shared" si="9"/>
        <v>3.0918356024190582E-5</v>
      </c>
      <c r="HR8" s="99">
        <f t="shared" si="9"/>
        <v>3.6134928534170061E-5</v>
      </c>
      <c r="HS8" s="99">
        <f t="shared" si="9"/>
        <v>4.2162990615244138E-5</v>
      </c>
      <c r="HT8" s="99">
        <f t="shared" si="9"/>
        <v>4.9116681499027982E-5</v>
      </c>
      <c r="HU8" s="99">
        <f t="shared" si="9"/>
        <v>5.7124186284421039E-5</v>
      </c>
      <c r="HV8" s="99">
        <f t="shared" si="9"/>
        <v>6.6329150948258174E-5</v>
      </c>
      <c r="HW8" s="99">
        <f t="shared" si="9"/>
        <v>7.6892193599107796E-5</v>
      </c>
      <c r="HX8" s="99">
        <f t="shared" si="9"/>
        <v>8.8992511754822104E-5</v>
      </c>
      <c r="HY8" s="99">
        <f t="shared" si="9"/>
        <v>1.0282958421137581E-4</v>
      </c>
      <c r="HZ8" s="99">
        <f t="shared" si="9"/>
        <v>1.1862496468227354E-4</v>
      </c>
      <c r="IA8" s="99">
        <f t="shared" si="9"/>
        <v>1.3662416281819885E-4</v>
      </c>
      <c r="IB8" s="99">
        <f t="shared" si="9"/>
        <v>1.5709860646163779E-4</v>
      </c>
      <c r="IC8" s="99">
        <f t="shared" si="9"/>
        <v>1.8034767704957122E-4</v>
      </c>
      <c r="ID8" s="99">
        <f t="shared" si="9"/>
        <v>2.0670080795067187E-4</v>
      </c>
      <c r="IE8" s="99">
        <f t="shared" si="9"/>
        <v>2.3651963321691529E-4</v>
      </c>
      <c r="IF8" s="99">
        <f t="shared" si="9"/>
        <v>2.7020017175222465E-4</v>
      </c>
      <c r="IG8" s="99">
        <f t="shared" si="9"/>
        <v>3.0817502926609231E-4</v>
      </c>
      <c r="IH8" s="99">
        <f t="shared" si="9"/>
        <v>3.509155976062165E-4</v>
      </c>
      <c r="II8" s="99">
        <f t="shared" si="9"/>
        <v>3.989342281742321E-4</v>
      </c>
      <c r="IJ8" s="99">
        <f t="shared" si="9"/>
        <v>4.5278635315117258E-4</v>
      </c>
      <c r="IK8" s="99">
        <f t="shared" si="9"/>
        <v>5.1307252522847784E-4</v>
      </c>
      <c r="IL8" s="99">
        <f t="shared" si="9"/>
        <v>5.8044034349603879E-4</v>
      </c>
      <c r="IM8" s="99">
        <f t="shared" si="9"/>
        <v>6.5558623012650444E-4</v>
      </c>
      <c r="IN8" s="99">
        <f t="shared" si="9"/>
        <v>7.3925701956617366E-4</v>
      </c>
      <c r="IO8" s="99">
        <f t="shared" si="9"/>
        <v>8.3225131915396768E-4</v>
      </c>
      <c r="IP8" s="99">
        <f t="shared" si="9"/>
        <v>9.3542059750312983E-4</v>
      </c>
      <c r="IQ8" s="99">
        <f t="shared" si="9"/>
        <v>1.0496699546618511E-3</v>
      </c>
      <c r="IR8" s="99">
        <f t="shared" si="9"/>
        <v>1.1759585260895328E-3</v>
      </c>
      <c r="IS8" s="99">
        <f t="shared" si="9"/>
        <v>1.3152994709183159E-3</v>
      </c>
      <c r="IT8" s="99">
        <f t="shared" si="9"/>
        <v>1.4687594938907343E-3</v>
      </c>
      <c r="IU8" s="99">
        <f t="shared" si="9"/>
        <v>1.637457849850435E-3</v>
      </c>
      <c r="IV8" s="99">
        <f t="shared" si="9"/>
        <v>1.8225647797902699E-3</v>
      </c>
      <c r="IW8" s="99">
        <f t="shared" si="9"/>
        <v>2.0252993283052323E-3</v>
      </c>
      <c r="IX8" s="99">
        <f t="shared" si="9"/>
        <v>2.246926493927652E-3</v>
      </c>
      <c r="IY8" s="99">
        <f t="shared" si="9"/>
        <v>2.4887536663045782E-3</v>
      </c>
      <c r="IZ8" s="99">
        <f t="shared" si="9"/>
        <v>2.7521263075712373E-3</v>
      </c>
      <c r="JA8" s="99">
        <f t="shared" si="9"/>
        <v>3.0384228396294266E-3</v>
      </c>
      <c r="JB8" s="99">
        <f t="shared" si="9"/>
        <v>3.3490487043947468E-3</v>
      </c>
      <c r="JC8" s="99">
        <f t="shared" si="9"/>
        <v>3.6854295704575788E-3</v>
      </c>
      <c r="JD8" s="99">
        <f t="shared" si="9"/>
        <v>4.0490036670209461E-3</v>
      </c>
      <c r="JE8" s="99">
        <f t="shared" si="9"/>
        <v>4.4412132344287545E-3</v>
      </c>
      <c r="JF8" s="99">
        <f t="shared" si="9"/>
        <v>4.8634950900568125E-3</v>
      </c>
      <c r="JG8" s="99">
        <f t="shared" si="9"/>
        <v>5.3172703187637843E-3</v>
      </c>
      <c r="JH8" s="99">
        <f t="shared" si="9"/>
        <v>5.8039331084258289E-3</v>
      </c>
      <c r="JI8" s="99">
        <f t="shared" si="9"/>
        <v>6.3248387632222026E-3</v>
      </c>
      <c r="JJ8" s="99">
        <f t="shared" si="9"/>
        <v>6.8812909401915973E-3</v>
      </c>
      <c r="JK8" s="99">
        <f t="shared" si="9"/>
        <v>7.4745281680114427E-3</v>
      </c>
      <c r="JL8" s="99">
        <f t="shared" si="9"/>
        <v>8.1057097208122476E-3</v>
      </c>
      <c r="JM8" s="99">
        <f t="shared" si="9"/>
        <v>8.7759009339548281E-3</v>
      </c>
      <c r="JN8" s="99">
        <f t="shared" si="9"/>
        <v>9.4860580628759548E-3</v>
      </c>
      <c r="JO8" s="99">
        <f t="shared" si="9"/>
        <v>1.0237012800138707E-2</v>
      </c>
      <c r="JP8" s="99">
        <f t="shared" si="9"/>
        <v>1.1029456579479688E-2</v>
      </c>
      <c r="JQ8" s="99">
        <f t="shared" si="9"/>
        <v>1.186392480868919E-2</v>
      </c>
      <c r="JR8" s="99">
        <f t="shared" si="9"/>
        <v>1.2740781185342701E-2</v>
      </c>
      <c r="JS8" s="99">
        <f t="shared" si="9"/>
        <v>1.3660202260469821E-2</v>
      </c>
      <c r="JT8" s="99">
        <f t="shared" si="9"/>
        <v>1.4622162424944418E-2</v>
      </c>
      <c r="JU8" s="99">
        <f t="shared" si="9"/>
        <v>1.5626419501456084E-2</v>
      </c>
      <c r="JV8" s="99">
        <f t="shared" si="9"/>
        <v>1.6672501131133867E-2</v>
      </c>
      <c r="JW8" s="99">
        <f t="shared" si="9"/>
        <v>1.7759692148009727E-2</v>
      </c>
      <c r="JX8" s="99">
        <f t="shared" si="9"/>
        <v>1.888702313631839E-2</v>
      </c>
      <c r="JY8" s="99">
        <f t="shared" si="9"/>
        <v>2.0053260364946264E-2</v>
      </c>
      <c r="JZ8" s="99">
        <f t="shared" si="9"/>
        <v>2.1256897290004958E-2</v>
      </c>
      <c r="KA8" s="99">
        <f t="shared" si="9"/>
        <v>2.249614781039088E-2</v>
      </c>
      <c r="KB8" s="99">
        <f t="shared" ref="KB8:MM8" si="10">IF(AND($D$21&gt;0,$D$22&gt;0),IF(OR(CI4&lt;$D$21,CI4=$D$21),KB4,0),"")</f>
        <v>2.3768941452214341E-2</v>
      </c>
      <c r="KC8" s="99">
        <f t="shared" si="10"/>
        <v>2.507292064609639E-2</v>
      </c>
      <c r="KD8" s="99">
        <f t="shared" si="10"/>
        <v>2.6405440246540717E-2</v>
      </c>
      <c r="KE8" s="99">
        <f t="shared" si="10"/>
        <v>2.7763569424942035E-2</v>
      </c>
      <c r="KF8" s="99">
        <f t="shared" si="10"/>
        <v>2.9144096047393521E-2</v>
      </c>
      <c r="KG8" s="99">
        <f t="shared" si="10"/>
        <v>3.0543533625455439E-2</v>
      </c>
      <c r="KH8" s="99">
        <f t="shared" si="10"/>
        <v>3.1958130902651635E-2</v>
      </c>
      <c r="KI8" s="99">
        <f t="shared" si="10"/>
        <v>3.3383884111923876E-2</v>
      </c>
      <c r="KJ8" s="99">
        <f t="shared" si="10"/>
        <v>3.4816551909900961E-2</v>
      </c>
      <c r="KK8" s="99">
        <f t="shared" si="10"/>
        <v>3.6251672962980076E-2</v>
      </c>
      <c r="KL8" s="99">
        <f t="shared" si="10"/>
        <v>3.7684586128262088E-2</v>
      </c>
      <c r="KM8" s="99">
        <f t="shared" si="10"/>
        <v>3.9110453139759978E-2</v>
      </c>
      <c r="KN8" s="99">
        <f t="shared" si="10"/>
        <v>4.0524283677465203E-2</v>
      </c>
      <c r="KO8" s="99">
        <f t="shared" si="10"/>
        <v>4.1920962664293758E-2</v>
      </c>
      <c r="KP8" s="99">
        <f t="shared" si="10"/>
        <v>4.3295279604136844E-2</v>
      </c>
      <c r="KQ8" s="99">
        <f t="shared" si="10"/>
        <v>4.4641959743712781E-2</v>
      </c>
      <c r="KR8" s="99">
        <f t="shared" si="10"/>
        <v>4.5955696812159781E-2</v>
      </c>
      <c r="KS8" s="99">
        <f t="shared" si="10"/>
        <v>4.7231187065811184E-2</v>
      </c>
      <c r="KT8" s="99">
        <f t="shared" si="10"/>
        <v>4.8463164341827E-2</v>
      </c>
      <c r="KU8" s="99">
        <f t="shared" si="10"/>
        <v>4.9646435803756161E-2</v>
      </c>
      <c r="KV8" s="99">
        <f t="shared" si="10"/>
        <v>5.0775918045075481E-2</v>
      </c>
      <c r="KW8" s="99">
        <f t="shared" si="10"/>
        <v>5.184667320364663E-2</v>
      </c>
      <c r="KX8" s="99">
        <f t="shared" si="10"/>
        <v>5.2853944731152701E-2</v>
      </c>
      <c r="KY8" s="99">
        <f t="shared" si="10"/>
        <v>5.3793192457156642E-2</v>
      </c>
      <c r="KZ8" s="99">
        <f t="shared" si="10"/>
        <v>5.4660126587638302E-2</v>
      </c>
      <c r="LA8" s="99">
        <f t="shared" si="10"/>
        <v>5.5450740282810294E-2</v>
      </c>
      <c r="LB8" s="99">
        <f t="shared" si="10"/>
        <v>5.616134046871081E-2</v>
      </c>
      <c r="LC8" s="99">
        <f t="shared" si="10"/>
        <v>5.6788576551466831E-2</v>
      </c>
      <c r="LD8" s="99">
        <f t="shared" si="10"/>
        <v>5.7329466722083555E-2</v>
      </c>
      <c r="LE8" s="99">
        <f t="shared" si="10"/>
        <v>5.7781421562934303E-2</v>
      </c>
      <c r="LF8" s="99">
        <f t="shared" si="10"/>
        <v>5.8142264694517123E-2</v>
      </c>
      <c r="LG8" s="99">
        <f t="shared" si="10"/>
        <v>5.8410250232155465E-2</v>
      </c>
      <c r="LH8" s="99">
        <f t="shared" si="10"/>
        <v>5.8584076856732906E-2</v>
      </c>
      <c r="LI8" s="99">
        <f t="shared" si="10"/>
        <v>5.8662898340789651E-2</v>
      </c>
      <c r="LJ8" s="99">
        <f t="shared" si="10"/>
        <v>5.8646330410845209E-2</v>
      </c>
      <c r="LK8" s="99">
        <f t="shared" si="10"/>
        <v>5.8534453868081052E-2</v>
      </c>
      <c r="LL8" s="99">
        <f t="shared" si="10"/>
        <v>0</v>
      </c>
      <c r="LM8" s="99">
        <f t="shared" si="10"/>
        <v>0</v>
      </c>
      <c r="LN8" s="99">
        <f t="shared" si="10"/>
        <v>0</v>
      </c>
      <c r="LO8" s="99">
        <f t="shared" si="10"/>
        <v>0</v>
      </c>
      <c r="LP8" s="99">
        <f t="shared" si="10"/>
        <v>0</v>
      </c>
      <c r="LQ8" s="99">
        <f t="shared" si="10"/>
        <v>0</v>
      </c>
      <c r="LR8" s="99">
        <f t="shared" si="10"/>
        <v>0</v>
      </c>
      <c r="LS8" s="99">
        <f t="shared" si="10"/>
        <v>0</v>
      </c>
      <c r="LT8" s="99">
        <f t="shared" si="10"/>
        <v>0</v>
      </c>
      <c r="LU8" s="99">
        <f t="shared" si="10"/>
        <v>0</v>
      </c>
      <c r="LV8" s="99">
        <f t="shared" si="10"/>
        <v>0</v>
      </c>
      <c r="LW8" s="99">
        <f t="shared" si="10"/>
        <v>0</v>
      </c>
      <c r="LX8" s="99">
        <f t="shared" si="10"/>
        <v>0</v>
      </c>
      <c r="LY8" s="99">
        <f t="shared" si="10"/>
        <v>0</v>
      </c>
      <c r="LZ8" s="99">
        <f t="shared" si="10"/>
        <v>0</v>
      </c>
      <c r="MA8" s="99">
        <f t="shared" si="10"/>
        <v>0</v>
      </c>
      <c r="MB8" s="99">
        <f t="shared" si="10"/>
        <v>0</v>
      </c>
      <c r="MC8" s="99">
        <f t="shared" si="10"/>
        <v>0</v>
      </c>
      <c r="MD8" s="99">
        <f t="shared" si="10"/>
        <v>0</v>
      </c>
      <c r="ME8" s="99">
        <f t="shared" si="10"/>
        <v>0</v>
      </c>
      <c r="MF8" s="99">
        <f t="shared" si="10"/>
        <v>0</v>
      </c>
      <c r="MG8" s="99">
        <f t="shared" si="10"/>
        <v>0</v>
      </c>
      <c r="MH8" s="99">
        <f t="shared" si="10"/>
        <v>0</v>
      </c>
      <c r="MI8" s="99">
        <f t="shared" si="10"/>
        <v>0</v>
      </c>
      <c r="MJ8" s="99">
        <f t="shared" si="10"/>
        <v>0</v>
      </c>
      <c r="MK8" s="99">
        <f t="shared" si="10"/>
        <v>0</v>
      </c>
      <c r="ML8" s="99">
        <f t="shared" si="10"/>
        <v>0</v>
      </c>
      <c r="MM8" s="99">
        <f t="shared" si="10"/>
        <v>0</v>
      </c>
      <c r="MN8" s="99">
        <f t="shared" ref="MN8:OY8" si="11">IF(AND($D$21&gt;0,$D$22&gt;0),IF(OR(EU4&lt;$D$21,EU4=$D$21),MN4,0),"")</f>
        <v>0</v>
      </c>
      <c r="MO8" s="99">
        <f t="shared" si="11"/>
        <v>0</v>
      </c>
      <c r="MP8" s="99">
        <f t="shared" si="11"/>
        <v>0</v>
      </c>
      <c r="MQ8" s="99">
        <f t="shared" si="11"/>
        <v>0</v>
      </c>
      <c r="MR8" s="99">
        <f t="shared" si="11"/>
        <v>0</v>
      </c>
      <c r="MS8" s="99">
        <f t="shared" si="11"/>
        <v>0</v>
      </c>
      <c r="MT8" s="99">
        <f t="shared" si="11"/>
        <v>0</v>
      </c>
      <c r="MU8" s="99">
        <f t="shared" si="11"/>
        <v>0</v>
      </c>
      <c r="MV8" s="99">
        <f t="shared" si="11"/>
        <v>0</v>
      </c>
      <c r="MW8" s="99">
        <f t="shared" si="11"/>
        <v>0</v>
      </c>
      <c r="MX8" s="99">
        <f t="shared" si="11"/>
        <v>0</v>
      </c>
      <c r="MY8" s="99">
        <f t="shared" si="11"/>
        <v>0</v>
      </c>
      <c r="MZ8" s="99">
        <f t="shared" si="11"/>
        <v>0</v>
      </c>
      <c r="NA8" s="99">
        <f t="shared" si="11"/>
        <v>0</v>
      </c>
      <c r="NB8" s="99">
        <f t="shared" si="11"/>
        <v>0</v>
      </c>
      <c r="NC8" s="99">
        <f t="shared" si="11"/>
        <v>0</v>
      </c>
      <c r="ND8" s="99">
        <f t="shared" si="11"/>
        <v>0</v>
      </c>
      <c r="NE8" s="99">
        <f t="shared" si="11"/>
        <v>0</v>
      </c>
      <c r="NF8" s="99">
        <f t="shared" si="11"/>
        <v>0</v>
      </c>
      <c r="NG8" s="99">
        <f t="shared" si="11"/>
        <v>0</v>
      </c>
      <c r="NH8" s="99">
        <f t="shared" si="11"/>
        <v>0</v>
      </c>
      <c r="NI8" s="99">
        <f t="shared" si="11"/>
        <v>0</v>
      </c>
      <c r="NJ8" s="99">
        <f t="shared" si="11"/>
        <v>0</v>
      </c>
      <c r="NK8" s="99">
        <f t="shared" si="11"/>
        <v>0</v>
      </c>
      <c r="NL8" s="99">
        <f t="shared" si="11"/>
        <v>0</v>
      </c>
      <c r="NM8" s="99">
        <f t="shared" si="11"/>
        <v>0</v>
      </c>
      <c r="NN8" s="99">
        <f t="shared" si="11"/>
        <v>0</v>
      </c>
      <c r="NO8" s="99">
        <f t="shared" si="11"/>
        <v>0</v>
      </c>
      <c r="NP8" s="99">
        <f t="shared" si="11"/>
        <v>0</v>
      </c>
      <c r="NQ8" s="99">
        <f t="shared" si="11"/>
        <v>0</v>
      </c>
      <c r="NR8" s="99">
        <f t="shared" si="11"/>
        <v>0</v>
      </c>
      <c r="NS8" s="99">
        <f t="shared" si="11"/>
        <v>0</v>
      </c>
      <c r="NT8" s="99">
        <f t="shared" si="11"/>
        <v>0</v>
      </c>
      <c r="NU8" s="99">
        <f t="shared" si="11"/>
        <v>0</v>
      </c>
      <c r="NV8" s="99">
        <f t="shared" si="11"/>
        <v>0</v>
      </c>
      <c r="NW8" s="99">
        <f t="shared" si="11"/>
        <v>0</v>
      </c>
      <c r="NX8" s="99">
        <f t="shared" si="11"/>
        <v>0</v>
      </c>
      <c r="NY8" s="99">
        <f t="shared" si="11"/>
        <v>0</v>
      </c>
      <c r="NZ8" s="99">
        <f t="shared" si="11"/>
        <v>0</v>
      </c>
      <c r="OA8" s="99">
        <f t="shared" si="11"/>
        <v>0</v>
      </c>
      <c r="OB8" s="99">
        <f t="shared" si="11"/>
        <v>0</v>
      </c>
      <c r="OC8" s="99">
        <f t="shared" si="11"/>
        <v>0</v>
      </c>
      <c r="OD8" s="99">
        <f t="shared" si="11"/>
        <v>0</v>
      </c>
      <c r="OE8" s="99">
        <f t="shared" si="11"/>
        <v>0</v>
      </c>
      <c r="OF8" s="99">
        <f t="shared" si="11"/>
        <v>0</v>
      </c>
      <c r="OG8" s="99">
        <f t="shared" si="11"/>
        <v>0</v>
      </c>
      <c r="OH8" s="99">
        <f t="shared" si="11"/>
        <v>0</v>
      </c>
      <c r="OI8" s="99">
        <f t="shared" si="11"/>
        <v>0</v>
      </c>
      <c r="OJ8" s="99">
        <f t="shared" si="11"/>
        <v>0</v>
      </c>
      <c r="OK8" s="99">
        <f t="shared" si="11"/>
        <v>0</v>
      </c>
      <c r="OL8" s="99">
        <f t="shared" si="11"/>
        <v>0</v>
      </c>
      <c r="OM8" s="99">
        <f t="shared" si="11"/>
        <v>0</v>
      </c>
      <c r="ON8" s="99">
        <f t="shared" si="11"/>
        <v>0</v>
      </c>
      <c r="OO8" s="99">
        <f t="shared" si="11"/>
        <v>0</v>
      </c>
      <c r="OP8" s="99">
        <f t="shared" si="11"/>
        <v>0</v>
      </c>
      <c r="OQ8" s="99">
        <f t="shared" si="11"/>
        <v>0</v>
      </c>
      <c r="OR8" s="99">
        <f t="shared" si="11"/>
        <v>0</v>
      </c>
      <c r="OS8" s="99">
        <f t="shared" si="11"/>
        <v>0</v>
      </c>
      <c r="OT8" s="99">
        <f t="shared" si="11"/>
        <v>0</v>
      </c>
      <c r="OU8" s="99">
        <f t="shared" si="11"/>
        <v>0</v>
      </c>
      <c r="OV8" s="99">
        <f t="shared" si="11"/>
        <v>0</v>
      </c>
      <c r="OW8" s="99">
        <f t="shared" si="11"/>
        <v>0</v>
      </c>
      <c r="OX8" s="99">
        <f t="shared" si="11"/>
        <v>0</v>
      </c>
      <c r="OY8" s="99">
        <f t="shared" si="11"/>
        <v>0</v>
      </c>
      <c r="OZ8" s="99">
        <f t="shared" ref="OZ8:PH8" si="12">IF(AND($D$21&gt;0,$D$22&gt;0),IF(OR(HG4&lt;$D$21,HG4=$D$21),OZ4,0),"")</f>
        <v>0</v>
      </c>
      <c r="PA8" s="99">
        <f t="shared" si="12"/>
        <v>0</v>
      </c>
      <c r="PB8" s="99">
        <f t="shared" si="12"/>
        <v>0</v>
      </c>
      <c r="PC8" s="99">
        <f t="shared" si="12"/>
        <v>0</v>
      </c>
      <c r="PD8" s="99">
        <f t="shared" si="12"/>
        <v>0</v>
      </c>
      <c r="PE8" s="99">
        <f t="shared" si="12"/>
        <v>0</v>
      </c>
      <c r="PF8" s="99">
        <f t="shared" si="12"/>
        <v>0</v>
      </c>
      <c r="PG8" s="99">
        <f t="shared" si="12"/>
        <v>0</v>
      </c>
      <c r="PH8" s="99">
        <f t="shared" si="12"/>
        <v>0</v>
      </c>
    </row>
    <row r="9" spans="1:425" ht="18.5" customHeight="1">
      <c r="A9" s="160" t="s">
        <v>632</v>
      </c>
      <c r="B9" s="161">
        <v>46112</v>
      </c>
      <c r="C9" s="162" t="s">
        <v>639</v>
      </c>
      <c r="D9" s="163">
        <f>(B9-$G$7)+1</f>
        <v>90</v>
      </c>
      <c r="G9" s="38" t="s">
        <v>636</v>
      </c>
      <c r="H9" s="3"/>
      <c r="I9" s="3"/>
      <c r="J9" s="3"/>
      <c r="K9" s="3"/>
      <c r="L9" s="3"/>
      <c r="M9" s="3"/>
      <c r="N9" s="3"/>
      <c r="O9" s="3"/>
      <c r="P9" s="3"/>
      <c r="Q9" s="3"/>
      <c r="R9" s="3"/>
      <c r="S9" s="3"/>
      <c r="T9" s="3"/>
      <c r="U9" s="3"/>
      <c r="HP9" s="99">
        <f t="shared" ref="HP9:KA9" si="13">IF(AND($D$21&gt;0,$D$22&gt;0),IF(AND(W4&gt;$D$21,OR(W4&lt;$D$22,W4=$D$22)),HP4,0),"")</f>
        <v>0</v>
      </c>
      <c r="HQ9" s="99">
        <f t="shared" si="13"/>
        <v>0</v>
      </c>
      <c r="HR9" s="99">
        <f t="shared" si="13"/>
        <v>0</v>
      </c>
      <c r="HS9" s="99">
        <f t="shared" si="13"/>
        <v>0</v>
      </c>
      <c r="HT9" s="99">
        <f t="shared" si="13"/>
        <v>0</v>
      </c>
      <c r="HU9" s="99">
        <f t="shared" si="13"/>
        <v>0</v>
      </c>
      <c r="HV9" s="99">
        <f t="shared" si="13"/>
        <v>0</v>
      </c>
      <c r="HW9" s="99">
        <f t="shared" si="13"/>
        <v>0</v>
      </c>
      <c r="HX9" s="99">
        <f t="shared" si="13"/>
        <v>0</v>
      </c>
      <c r="HY9" s="99">
        <f t="shared" si="13"/>
        <v>0</v>
      </c>
      <c r="HZ9" s="99">
        <f t="shared" si="13"/>
        <v>0</v>
      </c>
      <c r="IA9" s="99">
        <f t="shared" si="13"/>
        <v>0</v>
      </c>
      <c r="IB9" s="99">
        <f t="shared" si="13"/>
        <v>0</v>
      </c>
      <c r="IC9" s="99">
        <f t="shared" si="13"/>
        <v>0</v>
      </c>
      <c r="ID9" s="99">
        <f t="shared" si="13"/>
        <v>0</v>
      </c>
      <c r="IE9" s="99">
        <f t="shared" si="13"/>
        <v>0</v>
      </c>
      <c r="IF9" s="99">
        <f t="shared" si="13"/>
        <v>0</v>
      </c>
      <c r="IG9" s="99">
        <f t="shared" si="13"/>
        <v>0</v>
      </c>
      <c r="IH9" s="99">
        <f t="shared" si="13"/>
        <v>0</v>
      </c>
      <c r="II9" s="99">
        <f t="shared" si="13"/>
        <v>0</v>
      </c>
      <c r="IJ9" s="99">
        <f t="shared" si="13"/>
        <v>0</v>
      </c>
      <c r="IK9" s="99">
        <f t="shared" si="13"/>
        <v>0</v>
      </c>
      <c r="IL9" s="99">
        <f t="shared" si="13"/>
        <v>0</v>
      </c>
      <c r="IM9" s="99">
        <f t="shared" si="13"/>
        <v>0</v>
      </c>
      <c r="IN9" s="99">
        <f t="shared" si="13"/>
        <v>0</v>
      </c>
      <c r="IO9" s="99">
        <f t="shared" si="13"/>
        <v>0</v>
      </c>
      <c r="IP9" s="99">
        <f t="shared" si="13"/>
        <v>0</v>
      </c>
      <c r="IQ9" s="99">
        <f t="shared" si="13"/>
        <v>0</v>
      </c>
      <c r="IR9" s="99">
        <f t="shared" si="13"/>
        <v>0</v>
      </c>
      <c r="IS9" s="99">
        <f t="shared" si="13"/>
        <v>0</v>
      </c>
      <c r="IT9" s="99">
        <f t="shared" si="13"/>
        <v>0</v>
      </c>
      <c r="IU9" s="99">
        <f t="shared" si="13"/>
        <v>0</v>
      </c>
      <c r="IV9" s="99">
        <f t="shared" si="13"/>
        <v>0</v>
      </c>
      <c r="IW9" s="99">
        <f t="shared" si="13"/>
        <v>0</v>
      </c>
      <c r="IX9" s="99">
        <f t="shared" si="13"/>
        <v>0</v>
      </c>
      <c r="IY9" s="99">
        <f t="shared" si="13"/>
        <v>0</v>
      </c>
      <c r="IZ9" s="99">
        <f t="shared" si="13"/>
        <v>0</v>
      </c>
      <c r="JA9" s="99">
        <f t="shared" si="13"/>
        <v>0</v>
      </c>
      <c r="JB9" s="99">
        <f t="shared" si="13"/>
        <v>0</v>
      </c>
      <c r="JC9" s="99">
        <f t="shared" si="13"/>
        <v>0</v>
      </c>
      <c r="JD9" s="99">
        <f t="shared" si="13"/>
        <v>0</v>
      </c>
      <c r="JE9" s="99">
        <f t="shared" si="13"/>
        <v>0</v>
      </c>
      <c r="JF9" s="99">
        <f t="shared" si="13"/>
        <v>0</v>
      </c>
      <c r="JG9" s="99">
        <f t="shared" si="13"/>
        <v>0</v>
      </c>
      <c r="JH9" s="99">
        <f t="shared" si="13"/>
        <v>0</v>
      </c>
      <c r="JI9" s="99">
        <f t="shared" si="13"/>
        <v>0</v>
      </c>
      <c r="JJ9" s="99">
        <f t="shared" si="13"/>
        <v>0</v>
      </c>
      <c r="JK9" s="99">
        <f t="shared" si="13"/>
        <v>0</v>
      </c>
      <c r="JL9" s="99">
        <f t="shared" si="13"/>
        <v>0</v>
      </c>
      <c r="JM9" s="99">
        <f t="shared" si="13"/>
        <v>0</v>
      </c>
      <c r="JN9" s="99">
        <f t="shared" si="13"/>
        <v>0</v>
      </c>
      <c r="JO9" s="99">
        <f t="shared" si="13"/>
        <v>0</v>
      </c>
      <c r="JP9" s="99">
        <f t="shared" si="13"/>
        <v>0</v>
      </c>
      <c r="JQ9" s="99">
        <f t="shared" si="13"/>
        <v>0</v>
      </c>
      <c r="JR9" s="99">
        <f t="shared" si="13"/>
        <v>0</v>
      </c>
      <c r="JS9" s="99">
        <f t="shared" si="13"/>
        <v>0</v>
      </c>
      <c r="JT9" s="99">
        <f t="shared" si="13"/>
        <v>0</v>
      </c>
      <c r="JU9" s="99">
        <f t="shared" si="13"/>
        <v>0</v>
      </c>
      <c r="JV9" s="99">
        <f t="shared" si="13"/>
        <v>0</v>
      </c>
      <c r="JW9" s="99">
        <f t="shared" si="13"/>
        <v>0</v>
      </c>
      <c r="JX9" s="99">
        <f t="shared" si="13"/>
        <v>0</v>
      </c>
      <c r="JY9" s="99">
        <f t="shared" si="13"/>
        <v>0</v>
      </c>
      <c r="JZ9" s="99">
        <f t="shared" si="13"/>
        <v>0</v>
      </c>
      <c r="KA9" s="99">
        <f t="shared" si="13"/>
        <v>0</v>
      </c>
      <c r="KB9" s="99">
        <f t="shared" ref="KB9:MM9" si="14">IF(AND($D$21&gt;0,$D$22&gt;0),IF(AND(CI4&gt;$D$21,OR(CI4&lt;$D$22,CI4=$D$22)),KB4,0),"")</f>
        <v>0</v>
      </c>
      <c r="KC9" s="99">
        <f t="shared" si="14"/>
        <v>0</v>
      </c>
      <c r="KD9" s="99">
        <f t="shared" si="14"/>
        <v>0</v>
      </c>
      <c r="KE9" s="99">
        <f t="shared" si="14"/>
        <v>0</v>
      </c>
      <c r="KF9" s="99">
        <f t="shared" si="14"/>
        <v>0</v>
      </c>
      <c r="KG9" s="99">
        <f t="shared" si="14"/>
        <v>0</v>
      </c>
      <c r="KH9" s="99">
        <f t="shared" si="14"/>
        <v>0</v>
      </c>
      <c r="KI9" s="99">
        <f t="shared" si="14"/>
        <v>0</v>
      </c>
      <c r="KJ9" s="99">
        <f t="shared" si="14"/>
        <v>0</v>
      </c>
      <c r="KK9" s="99">
        <f t="shared" si="14"/>
        <v>0</v>
      </c>
      <c r="KL9" s="99">
        <f t="shared" si="14"/>
        <v>0</v>
      </c>
      <c r="KM9" s="99">
        <f t="shared" si="14"/>
        <v>0</v>
      </c>
      <c r="KN9" s="99">
        <f t="shared" si="14"/>
        <v>0</v>
      </c>
      <c r="KO9" s="99">
        <f t="shared" si="14"/>
        <v>0</v>
      </c>
      <c r="KP9" s="99">
        <f t="shared" si="14"/>
        <v>0</v>
      </c>
      <c r="KQ9" s="99">
        <f t="shared" si="14"/>
        <v>0</v>
      </c>
      <c r="KR9" s="99">
        <f t="shared" si="14"/>
        <v>0</v>
      </c>
      <c r="KS9" s="99">
        <f t="shared" si="14"/>
        <v>0</v>
      </c>
      <c r="KT9" s="99">
        <f t="shared" si="14"/>
        <v>0</v>
      </c>
      <c r="KU9" s="99">
        <f t="shared" si="14"/>
        <v>0</v>
      </c>
      <c r="KV9" s="99">
        <f t="shared" si="14"/>
        <v>0</v>
      </c>
      <c r="KW9" s="99">
        <f t="shared" si="14"/>
        <v>0</v>
      </c>
      <c r="KX9" s="99">
        <f t="shared" si="14"/>
        <v>0</v>
      </c>
      <c r="KY9" s="99">
        <f t="shared" si="14"/>
        <v>0</v>
      </c>
      <c r="KZ9" s="99">
        <f t="shared" si="14"/>
        <v>0</v>
      </c>
      <c r="LA9" s="99">
        <f t="shared" si="14"/>
        <v>0</v>
      </c>
      <c r="LB9" s="99">
        <f t="shared" si="14"/>
        <v>0</v>
      </c>
      <c r="LC9" s="99">
        <f t="shared" si="14"/>
        <v>0</v>
      </c>
      <c r="LD9" s="99">
        <f t="shared" si="14"/>
        <v>0</v>
      </c>
      <c r="LE9" s="99">
        <f t="shared" si="14"/>
        <v>0</v>
      </c>
      <c r="LF9" s="99">
        <f t="shared" si="14"/>
        <v>0</v>
      </c>
      <c r="LG9" s="99">
        <f t="shared" si="14"/>
        <v>0</v>
      </c>
      <c r="LH9" s="99">
        <f t="shared" si="14"/>
        <v>0</v>
      </c>
      <c r="LI9" s="99">
        <f t="shared" si="14"/>
        <v>0</v>
      </c>
      <c r="LJ9" s="99">
        <f t="shared" si="14"/>
        <v>0</v>
      </c>
      <c r="LK9" s="99">
        <f t="shared" si="14"/>
        <v>0</v>
      </c>
      <c r="LL9" s="99">
        <f t="shared" si="14"/>
        <v>5.8327813931922719E-2</v>
      </c>
      <c r="LM9" s="99">
        <f t="shared" si="14"/>
        <v>5.8027415813982429E-2</v>
      </c>
      <c r="LN9" s="99">
        <f t="shared" si="14"/>
        <v>5.7634716572638127E-2</v>
      </c>
      <c r="LO9" s="99">
        <f t="shared" si="14"/>
        <v>5.7151613340603848E-2</v>
      </c>
      <c r="LP9" s="99">
        <f t="shared" si="14"/>
        <v>5.6580428058581218E-2</v>
      </c>
      <c r="LQ9" s="99">
        <f t="shared" si="14"/>
        <v>5.5923888886882371E-2</v>
      </c>
      <c r="LR9" s="99">
        <f t="shared" si="14"/>
        <v>5.518510850322874E-2</v>
      </c>
      <c r="LS9" s="99">
        <f t="shared" si="14"/>
        <v>0</v>
      </c>
      <c r="LT9" s="99">
        <f t="shared" si="14"/>
        <v>0</v>
      </c>
      <c r="LU9" s="99">
        <f t="shared" si="14"/>
        <v>0</v>
      </c>
      <c r="LV9" s="99">
        <f t="shared" si="14"/>
        <v>0</v>
      </c>
      <c r="LW9" s="99">
        <f t="shared" si="14"/>
        <v>0</v>
      </c>
      <c r="LX9" s="99">
        <f t="shared" si="14"/>
        <v>0</v>
      </c>
      <c r="LY9" s="99">
        <f t="shared" si="14"/>
        <v>0</v>
      </c>
      <c r="LZ9" s="99">
        <f t="shared" si="14"/>
        <v>0</v>
      </c>
      <c r="MA9" s="99">
        <f t="shared" si="14"/>
        <v>0</v>
      </c>
      <c r="MB9" s="99">
        <f t="shared" si="14"/>
        <v>0</v>
      </c>
      <c r="MC9" s="99">
        <f t="shared" si="14"/>
        <v>0</v>
      </c>
      <c r="MD9" s="99">
        <f t="shared" si="14"/>
        <v>0</v>
      </c>
      <c r="ME9" s="99">
        <f t="shared" si="14"/>
        <v>0</v>
      </c>
      <c r="MF9" s="99">
        <f t="shared" si="14"/>
        <v>0</v>
      </c>
      <c r="MG9" s="99">
        <f t="shared" si="14"/>
        <v>0</v>
      </c>
      <c r="MH9" s="99">
        <f t="shared" si="14"/>
        <v>0</v>
      </c>
      <c r="MI9" s="99">
        <f t="shared" si="14"/>
        <v>0</v>
      </c>
      <c r="MJ9" s="99">
        <f t="shared" si="14"/>
        <v>0</v>
      </c>
      <c r="MK9" s="99">
        <f t="shared" si="14"/>
        <v>0</v>
      </c>
      <c r="ML9" s="99">
        <f t="shared" si="14"/>
        <v>0</v>
      </c>
      <c r="MM9" s="99">
        <f t="shared" si="14"/>
        <v>0</v>
      </c>
      <c r="MN9" s="99">
        <f t="shared" ref="MN9:OY9" si="15">IF(AND($D$21&gt;0,$D$22&gt;0),IF(AND(EU4&gt;$D$21,OR(EU4&lt;$D$22,EU4=$D$22)),MN4,0),"")</f>
        <v>0</v>
      </c>
      <c r="MO9" s="99">
        <f t="shared" si="15"/>
        <v>0</v>
      </c>
      <c r="MP9" s="99">
        <f t="shared" si="15"/>
        <v>0</v>
      </c>
      <c r="MQ9" s="99">
        <f t="shared" si="15"/>
        <v>0</v>
      </c>
      <c r="MR9" s="99">
        <f t="shared" si="15"/>
        <v>0</v>
      </c>
      <c r="MS9" s="99">
        <f t="shared" si="15"/>
        <v>0</v>
      </c>
      <c r="MT9" s="99">
        <f t="shared" si="15"/>
        <v>0</v>
      </c>
      <c r="MU9" s="99">
        <f t="shared" si="15"/>
        <v>0</v>
      </c>
      <c r="MV9" s="99">
        <f t="shared" si="15"/>
        <v>0</v>
      </c>
      <c r="MW9" s="99">
        <f t="shared" si="15"/>
        <v>0</v>
      </c>
      <c r="MX9" s="99">
        <f t="shared" si="15"/>
        <v>0</v>
      </c>
      <c r="MY9" s="99">
        <f t="shared" si="15"/>
        <v>0</v>
      </c>
      <c r="MZ9" s="99">
        <f t="shared" si="15"/>
        <v>0</v>
      </c>
      <c r="NA9" s="99">
        <f t="shared" si="15"/>
        <v>0</v>
      </c>
      <c r="NB9" s="99">
        <f t="shared" si="15"/>
        <v>0</v>
      </c>
      <c r="NC9" s="99">
        <f t="shared" si="15"/>
        <v>0</v>
      </c>
      <c r="ND9" s="99">
        <f t="shared" si="15"/>
        <v>0</v>
      </c>
      <c r="NE9" s="99">
        <f t="shared" si="15"/>
        <v>0</v>
      </c>
      <c r="NF9" s="99">
        <f t="shared" si="15"/>
        <v>0</v>
      </c>
      <c r="NG9" s="99">
        <f t="shared" si="15"/>
        <v>0</v>
      </c>
      <c r="NH9" s="99">
        <f t="shared" si="15"/>
        <v>0</v>
      </c>
      <c r="NI9" s="99">
        <f t="shared" si="15"/>
        <v>0</v>
      </c>
      <c r="NJ9" s="99">
        <f t="shared" si="15"/>
        <v>0</v>
      </c>
      <c r="NK9" s="99">
        <f t="shared" si="15"/>
        <v>0</v>
      </c>
      <c r="NL9" s="99">
        <f t="shared" si="15"/>
        <v>0</v>
      </c>
      <c r="NM9" s="99">
        <f t="shared" si="15"/>
        <v>0</v>
      </c>
      <c r="NN9" s="99">
        <f t="shared" si="15"/>
        <v>0</v>
      </c>
      <c r="NO9" s="99">
        <f t="shared" si="15"/>
        <v>0</v>
      </c>
      <c r="NP9" s="99">
        <f t="shared" si="15"/>
        <v>0</v>
      </c>
      <c r="NQ9" s="99">
        <f t="shared" si="15"/>
        <v>0</v>
      </c>
      <c r="NR9" s="99">
        <f t="shared" si="15"/>
        <v>0</v>
      </c>
      <c r="NS9" s="99">
        <f t="shared" si="15"/>
        <v>0</v>
      </c>
      <c r="NT9" s="99">
        <f t="shared" si="15"/>
        <v>0</v>
      </c>
      <c r="NU9" s="99">
        <f t="shared" si="15"/>
        <v>0</v>
      </c>
      <c r="NV9" s="99">
        <f t="shared" si="15"/>
        <v>0</v>
      </c>
      <c r="NW9" s="99">
        <f t="shared" si="15"/>
        <v>0</v>
      </c>
      <c r="NX9" s="99">
        <f t="shared" si="15"/>
        <v>0</v>
      </c>
      <c r="NY9" s="99">
        <f t="shared" si="15"/>
        <v>0</v>
      </c>
      <c r="NZ9" s="99">
        <f t="shared" si="15"/>
        <v>0</v>
      </c>
      <c r="OA9" s="99">
        <f t="shared" si="15"/>
        <v>0</v>
      </c>
      <c r="OB9" s="99">
        <f t="shared" si="15"/>
        <v>0</v>
      </c>
      <c r="OC9" s="99">
        <f t="shared" si="15"/>
        <v>0</v>
      </c>
      <c r="OD9" s="99">
        <f t="shared" si="15"/>
        <v>0</v>
      </c>
      <c r="OE9" s="99">
        <f t="shared" si="15"/>
        <v>0</v>
      </c>
      <c r="OF9" s="99">
        <f t="shared" si="15"/>
        <v>0</v>
      </c>
      <c r="OG9" s="99">
        <f t="shared" si="15"/>
        <v>0</v>
      </c>
      <c r="OH9" s="99">
        <f t="shared" si="15"/>
        <v>0</v>
      </c>
      <c r="OI9" s="99">
        <f t="shared" si="15"/>
        <v>0</v>
      </c>
      <c r="OJ9" s="99">
        <f t="shared" si="15"/>
        <v>0</v>
      </c>
      <c r="OK9" s="99">
        <f t="shared" si="15"/>
        <v>0</v>
      </c>
      <c r="OL9" s="99">
        <f t="shared" si="15"/>
        <v>0</v>
      </c>
      <c r="OM9" s="99">
        <f t="shared" si="15"/>
        <v>0</v>
      </c>
      <c r="ON9" s="99">
        <f t="shared" si="15"/>
        <v>0</v>
      </c>
      <c r="OO9" s="99">
        <f t="shared" si="15"/>
        <v>0</v>
      </c>
      <c r="OP9" s="99">
        <f t="shared" si="15"/>
        <v>0</v>
      </c>
      <c r="OQ9" s="99">
        <f t="shared" si="15"/>
        <v>0</v>
      </c>
      <c r="OR9" s="99">
        <f t="shared" si="15"/>
        <v>0</v>
      </c>
      <c r="OS9" s="99">
        <f t="shared" si="15"/>
        <v>0</v>
      </c>
      <c r="OT9" s="99">
        <f t="shared" si="15"/>
        <v>0</v>
      </c>
      <c r="OU9" s="99">
        <f t="shared" si="15"/>
        <v>0</v>
      </c>
      <c r="OV9" s="99">
        <f t="shared" si="15"/>
        <v>0</v>
      </c>
      <c r="OW9" s="99">
        <f t="shared" si="15"/>
        <v>0</v>
      </c>
      <c r="OX9" s="99">
        <f t="shared" si="15"/>
        <v>0</v>
      </c>
      <c r="OY9" s="99">
        <f t="shared" si="15"/>
        <v>0</v>
      </c>
      <c r="OZ9" s="99">
        <f t="shared" ref="OZ9:PH9" si="16">IF(AND($D$21&gt;0,$D$22&gt;0),IF(AND(HG4&gt;$D$21,OR(HG4&lt;$D$22,HG4=$D$22)),OZ4,0),"")</f>
        <v>0</v>
      </c>
      <c r="PA9" s="99">
        <f t="shared" si="16"/>
        <v>0</v>
      </c>
      <c r="PB9" s="99">
        <f t="shared" si="16"/>
        <v>0</v>
      </c>
      <c r="PC9" s="99">
        <f t="shared" si="16"/>
        <v>0</v>
      </c>
      <c r="PD9" s="99">
        <f t="shared" si="16"/>
        <v>0</v>
      </c>
      <c r="PE9" s="99">
        <f t="shared" si="16"/>
        <v>0</v>
      </c>
      <c r="PF9" s="99">
        <f t="shared" si="16"/>
        <v>0</v>
      </c>
      <c r="PG9" s="99">
        <f t="shared" si="16"/>
        <v>0</v>
      </c>
      <c r="PH9" s="99">
        <f t="shared" si="16"/>
        <v>0</v>
      </c>
    </row>
    <row r="10" spans="1:425" ht="18.5" customHeight="1">
      <c r="A10" s="164" t="s">
        <v>633</v>
      </c>
      <c r="B10" s="156">
        <v>46114</v>
      </c>
      <c r="C10" s="158" t="s">
        <v>640</v>
      </c>
      <c r="D10" s="165">
        <f>(B10-$G$7)+1</f>
        <v>92</v>
      </c>
      <c r="G10" s="182">
        <v>1.25</v>
      </c>
      <c r="H10" s="3"/>
      <c r="I10" s="3"/>
      <c r="J10" s="3"/>
      <c r="K10" s="3"/>
      <c r="L10" s="3"/>
      <c r="M10" s="3"/>
      <c r="N10" s="3"/>
      <c r="O10" s="3"/>
      <c r="P10" s="3"/>
      <c r="Q10" s="3"/>
      <c r="R10" s="3"/>
      <c r="S10" s="3"/>
      <c r="T10" s="3"/>
      <c r="U10" s="3"/>
      <c r="HP10" s="99">
        <f t="shared" ref="HP10:KA10" si="17">IF(AND($D$21&gt;0,$D$22&gt;0),IF(AND(W4&gt;$D$22),HP4,0),"")</f>
        <v>0</v>
      </c>
      <c r="HQ10" s="99">
        <f t="shared" si="17"/>
        <v>0</v>
      </c>
      <c r="HR10" s="99">
        <f t="shared" si="17"/>
        <v>0</v>
      </c>
      <c r="HS10" s="99">
        <f t="shared" si="17"/>
        <v>0</v>
      </c>
      <c r="HT10" s="99">
        <f t="shared" si="17"/>
        <v>0</v>
      </c>
      <c r="HU10" s="99">
        <f t="shared" si="17"/>
        <v>0</v>
      </c>
      <c r="HV10" s="99">
        <f t="shared" si="17"/>
        <v>0</v>
      </c>
      <c r="HW10" s="99">
        <f t="shared" si="17"/>
        <v>0</v>
      </c>
      <c r="HX10" s="99">
        <f t="shared" si="17"/>
        <v>0</v>
      </c>
      <c r="HY10" s="99">
        <f t="shared" si="17"/>
        <v>0</v>
      </c>
      <c r="HZ10" s="99">
        <f t="shared" si="17"/>
        <v>0</v>
      </c>
      <c r="IA10" s="99">
        <f t="shared" si="17"/>
        <v>0</v>
      </c>
      <c r="IB10" s="99">
        <f t="shared" si="17"/>
        <v>0</v>
      </c>
      <c r="IC10" s="99">
        <f t="shared" si="17"/>
        <v>0</v>
      </c>
      <c r="ID10" s="99">
        <f t="shared" si="17"/>
        <v>0</v>
      </c>
      <c r="IE10" s="99">
        <f t="shared" si="17"/>
        <v>0</v>
      </c>
      <c r="IF10" s="99">
        <f t="shared" si="17"/>
        <v>0</v>
      </c>
      <c r="IG10" s="99">
        <f t="shared" si="17"/>
        <v>0</v>
      </c>
      <c r="IH10" s="99">
        <f t="shared" si="17"/>
        <v>0</v>
      </c>
      <c r="II10" s="99">
        <f t="shared" si="17"/>
        <v>0</v>
      </c>
      <c r="IJ10" s="99">
        <f t="shared" si="17"/>
        <v>0</v>
      </c>
      <c r="IK10" s="99">
        <f t="shared" si="17"/>
        <v>0</v>
      </c>
      <c r="IL10" s="99">
        <f t="shared" si="17"/>
        <v>0</v>
      </c>
      <c r="IM10" s="99">
        <f t="shared" si="17"/>
        <v>0</v>
      </c>
      <c r="IN10" s="99">
        <f t="shared" si="17"/>
        <v>0</v>
      </c>
      <c r="IO10" s="99">
        <f t="shared" si="17"/>
        <v>0</v>
      </c>
      <c r="IP10" s="99">
        <f t="shared" si="17"/>
        <v>0</v>
      </c>
      <c r="IQ10" s="99">
        <f t="shared" si="17"/>
        <v>0</v>
      </c>
      <c r="IR10" s="99">
        <f t="shared" si="17"/>
        <v>0</v>
      </c>
      <c r="IS10" s="99">
        <f t="shared" si="17"/>
        <v>0</v>
      </c>
      <c r="IT10" s="99">
        <f t="shared" si="17"/>
        <v>0</v>
      </c>
      <c r="IU10" s="99">
        <f t="shared" si="17"/>
        <v>0</v>
      </c>
      <c r="IV10" s="99">
        <f t="shared" si="17"/>
        <v>0</v>
      </c>
      <c r="IW10" s="99">
        <f t="shared" si="17"/>
        <v>0</v>
      </c>
      <c r="IX10" s="99">
        <f t="shared" si="17"/>
        <v>0</v>
      </c>
      <c r="IY10" s="99">
        <f t="shared" si="17"/>
        <v>0</v>
      </c>
      <c r="IZ10" s="99">
        <f t="shared" si="17"/>
        <v>0</v>
      </c>
      <c r="JA10" s="99">
        <f t="shared" si="17"/>
        <v>0</v>
      </c>
      <c r="JB10" s="99">
        <f t="shared" si="17"/>
        <v>0</v>
      </c>
      <c r="JC10" s="99">
        <f t="shared" si="17"/>
        <v>0</v>
      </c>
      <c r="JD10" s="99">
        <f t="shared" si="17"/>
        <v>0</v>
      </c>
      <c r="JE10" s="99">
        <f t="shared" si="17"/>
        <v>0</v>
      </c>
      <c r="JF10" s="99">
        <f t="shared" si="17"/>
        <v>0</v>
      </c>
      <c r="JG10" s="99">
        <f t="shared" si="17"/>
        <v>0</v>
      </c>
      <c r="JH10" s="99">
        <f t="shared" si="17"/>
        <v>0</v>
      </c>
      <c r="JI10" s="99">
        <f t="shared" si="17"/>
        <v>0</v>
      </c>
      <c r="JJ10" s="99">
        <f t="shared" si="17"/>
        <v>0</v>
      </c>
      <c r="JK10" s="99">
        <f t="shared" si="17"/>
        <v>0</v>
      </c>
      <c r="JL10" s="99">
        <f t="shared" si="17"/>
        <v>0</v>
      </c>
      <c r="JM10" s="99">
        <f t="shared" si="17"/>
        <v>0</v>
      </c>
      <c r="JN10" s="99">
        <f t="shared" si="17"/>
        <v>0</v>
      </c>
      <c r="JO10" s="99">
        <f t="shared" si="17"/>
        <v>0</v>
      </c>
      <c r="JP10" s="99">
        <f t="shared" si="17"/>
        <v>0</v>
      </c>
      <c r="JQ10" s="99">
        <f t="shared" si="17"/>
        <v>0</v>
      </c>
      <c r="JR10" s="99">
        <f t="shared" si="17"/>
        <v>0</v>
      </c>
      <c r="JS10" s="99">
        <f t="shared" si="17"/>
        <v>0</v>
      </c>
      <c r="JT10" s="99">
        <f t="shared" si="17"/>
        <v>0</v>
      </c>
      <c r="JU10" s="99">
        <f t="shared" si="17"/>
        <v>0</v>
      </c>
      <c r="JV10" s="99">
        <f t="shared" si="17"/>
        <v>0</v>
      </c>
      <c r="JW10" s="99">
        <f t="shared" si="17"/>
        <v>0</v>
      </c>
      <c r="JX10" s="99">
        <f t="shared" si="17"/>
        <v>0</v>
      </c>
      <c r="JY10" s="99">
        <f t="shared" si="17"/>
        <v>0</v>
      </c>
      <c r="JZ10" s="99">
        <f t="shared" si="17"/>
        <v>0</v>
      </c>
      <c r="KA10" s="99">
        <f t="shared" si="17"/>
        <v>0</v>
      </c>
      <c r="KB10" s="99">
        <f t="shared" ref="KB10:MM10" si="18">IF(AND($D$21&gt;0,$D$22&gt;0),IF(AND(CI4&gt;$D$22),KB4,0),"")</f>
        <v>0</v>
      </c>
      <c r="KC10" s="99">
        <f t="shared" si="18"/>
        <v>0</v>
      </c>
      <c r="KD10" s="99">
        <f t="shared" si="18"/>
        <v>0</v>
      </c>
      <c r="KE10" s="99">
        <f t="shared" si="18"/>
        <v>0</v>
      </c>
      <c r="KF10" s="99">
        <f t="shared" si="18"/>
        <v>0</v>
      </c>
      <c r="KG10" s="99">
        <f t="shared" si="18"/>
        <v>0</v>
      </c>
      <c r="KH10" s="99">
        <f t="shared" si="18"/>
        <v>0</v>
      </c>
      <c r="KI10" s="99">
        <f t="shared" si="18"/>
        <v>0</v>
      </c>
      <c r="KJ10" s="99">
        <f t="shared" si="18"/>
        <v>0</v>
      </c>
      <c r="KK10" s="99">
        <f t="shared" si="18"/>
        <v>0</v>
      </c>
      <c r="KL10" s="99">
        <f t="shared" si="18"/>
        <v>0</v>
      </c>
      <c r="KM10" s="99">
        <f t="shared" si="18"/>
        <v>0</v>
      </c>
      <c r="KN10" s="99">
        <f t="shared" si="18"/>
        <v>0</v>
      </c>
      <c r="KO10" s="99">
        <f t="shared" si="18"/>
        <v>0</v>
      </c>
      <c r="KP10" s="99">
        <f t="shared" si="18"/>
        <v>0</v>
      </c>
      <c r="KQ10" s="99">
        <f t="shared" si="18"/>
        <v>0</v>
      </c>
      <c r="KR10" s="99">
        <f t="shared" si="18"/>
        <v>0</v>
      </c>
      <c r="KS10" s="99">
        <f t="shared" si="18"/>
        <v>0</v>
      </c>
      <c r="KT10" s="99">
        <f t="shared" si="18"/>
        <v>0</v>
      </c>
      <c r="KU10" s="99">
        <f t="shared" si="18"/>
        <v>0</v>
      </c>
      <c r="KV10" s="99">
        <f t="shared" si="18"/>
        <v>0</v>
      </c>
      <c r="KW10" s="99">
        <f t="shared" si="18"/>
        <v>0</v>
      </c>
      <c r="KX10" s="99">
        <f t="shared" si="18"/>
        <v>0</v>
      </c>
      <c r="KY10" s="99">
        <f t="shared" si="18"/>
        <v>0</v>
      </c>
      <c r="KZ10" s="99">
        <f t="shared" si="18"/>
        <v>0</v>
      </c>
      <c r="LA10" s="99">
        <f t="shared" si="18"/>
        <v>0</v>
      </c>
      <c r="LB10" s="99">
        <f t="shared" si="18"/>
        <v>0</v>
      </c>
      <c r="LC10" s="99">
        <f t="shared" si="18"/>
        <v>0</v>
      </c>
      <c r="LD10" s="99">
        <f t="shared" si="18"/>
        <v>0</v>
      </c>
      <c r="LE10" s="99">
        <f t="shared" si="18"/>
        <v>0</v>
      </c>
      <c r="LF10" s="99">
        <f t="shared" si="18"/>
        <v>0</v>
      </c>
      <c r="LG10" s="99">
        <f t="shared" si="18"/>
        <v>0</v>
      </c>
      <c r="LH10" s="99">
        <f t="shared" si="18"/>
        <v>0</v>
      </c>
      <c r="LI10" s="99">
        <f t="shared" si="18"/>
        <v>0</v>
      </c>
      <c r="LJ10" s="99">
        <f t="shared" si="18"/>
        <v>0</v>
      </c>
      <c r="LK10" s="99">
        <f t="shared" si="18"/>
        <v>0</v>
      </c>
      <c r="LL10" s="99">
        <f t="shared" si="18"/>
        <v>0</v>
      </c>
      <c r="LM10" s="99">
        <f t="shared" si="18"/>
        <v>0</v>
      </c>
      <c r="LN10" s="99">
        <f t="shared" si="18"/>
        <v>0</v>
      </c>
      <c r="LO10" s="99">
        <f t="shared" si="18"/>
        <v>0</v>
      </c>
      <c r="LP10" s="99">
        <f t="shared" si="18"/>
        <v>0</v>
      </c>
      <c r="LQ10" s="99">
        <f t="shared" si="18"/>
        <v>0</v>
      </c>
      <c r="LR10" s="99">
        <f t="shared" si="18"/>
        <v>0</v>
      </c>
      <c r="LS10" s="99">
        <f t="shared" si="18"/>
        <v>5.436755952824724E-2</v>
      </c>
      <c r="LT10" s="99">
        <f t="shared" si="18"/>
        <v>5.3475047350050139E-2</v>
      </c>
      <c r="LU10" s="99">
        <f t="shared" si="18"/>
        <v>5.2511680645298077E-2</v>
      </c>
      <c r="LV10" s="99">
        <f t="shared" si="18"/>
        <v>5.1481839915981036E-2</v>
      </c>
      <c r="LW10" s="99">
        <f t="shared" si="18"/>
        <v>5.0390144378547663E-2</v>
      </c>
      <c r="LX10" s="99">
        <f t="shared" si="18"/>
        <v>4.9241417554789266E-2</v>
      </c>
      <c r="LY10" s="99">
        <f t="shared" si="18"/>
        <v>4.8040651921933825E-2</v>
      </c>
      <c r="LZ10" s="99">
        <f t="shared" si="18"/>
        <v>4.6792972982700437E-2</v>
      </c>
      <c r="MA10" s="99">
        <f t="shared" si="18"/>
        <v>4.5503603114655122E-2</v>
      </c>
      <c r="MB10" s="99">
        <f t="shared" si="18"/>
        <v>4.4177825552218171E-2</v>
      </c>
      <c r="MC10" s="99">
        <f t="shared" si="18"/>
        <v>4.2820948844296179E-2</v>
      </c>
      <c r="MD10" s="99">
        <f t="shared" si="18"/>
        <v>4.1438272116007875E-2</v>
      </c>
      <c r="ME10" s="99">
        <f t="shared" si="18"/>
        <v>4.0035051444661927E-2</v>
      </c>
      <c r="MF10" s="99">
        <f t="shared" si="18"/>
        <v>3.8616467638397642E-2</v>
      </c>
      <c r="MG10" s="99">
        <f t="shared" si="18"/>
        <v>3.7187595681132259E-2</v>
      </c>
      <c r="MH10" s="99">
        <f t="shared" si="18"/>
        <v>3.5753376080121732E-2</v>
      </c>
      <c r="MI10" s="99">
        <f t="shared" si="18"/>
        <v>3.431858832301328E-2</v>
      </c>
      <c r="MJ10" s="99">
        <f t="shared" si="18"/>
        <v>3.2887826620242838E-2</v>
      </c>
      <c r="MK10" s="99">
        <f t="shared" si="18"/>
        <v>3.1465478076510026E-2</v>
      </c>
      <c r="ML10" s="99">
        <f t="shared" si="18"/>
        <v>3.0055703402350992E-2</v>
      </c>
      <c r="MM10" s="99">
        <f t="shared" si="18"/>
        <v>2.8662420244014872E-2</v>
      </c>
      <c r="MN10" s="99">
        <f t="shared" ref="MN10:OY10" si="19">IF(AND($D$21&gt;0,$D$22&gt;0),IF(AND(EU4&gt;$D$22),MN4,0),"")</f>
        <v>2.7289289177408398E-2</v>
      </c>
      <c r="MO10" s="99">
        <f t="shared" si="19"/>
        <v>2.5939702380250982E-2</v>
      </c>
      <c r="MP10" s="99">
        <f t="shared" si="19"/>
        <v>2.4616774966197387E-2</v>
      </c>
      <c r="MQ10" s="99">
        <f t="shared" si="19"/>
        <v>2.3323338935911923E-2</v>
      </c>
      <c r="MR10" s="99">
        <f t="shared" si="19"/>
        <v>2.2061939673253067E-2</v>
      </c>
      <c r="MS10" s="99">
        <f t="shared" si="19"/>
        <v>2.0834834890136922E-2</v>
      </c>
      <c r="MT10" s="99">
        <f t="shared" si="19"/>
        <v>1.9643995901530657E-2</v>
      </c>
      <c r="MU10" s="99">
        <f t="shared" si="19"/>
        <v>1.8491111092568881E-2</v>
      </c>
      <c r="MV10" s="99">
        <f t="shared" si="19"/>
        <v>1.7377591423122982E-2</v>
      </c>
      <c r="MW10" s="99">
        <f t="shared" si="19"/>
        <v>1.6304577801367841E-2</v>
      </c>
      <c r="MX10" s="99">
        <f t="shared" si="19"/>
        <v>1.5272950147016993E-2</v>
      </c>
      <c r="MY10" s="99">
        <f t="shared" si="19"/>
        <v>1.4283337956920751E-2</v>
      </c>
      <c r="MZ10" s="99">
        <f t="shared" si="19"/>
        <v>1.3336132180584017E-2</v>
      </c>
      <c r="NA10" s="99">
        <f t="shared" si="19"/>
        <v>1.2431498210760179E-2</v>
      </c>
      <c r="NB10" s="99">
        <f t="shared" si="19"/>
        <v>1.156938979447918E-2</v>
      </c>
      <c r="NC10" s="99">
        <f t="shared" si="19"/>
        <v>1.0749563672500404E-2</v>
      </c>
      <c r="ND10" s="99">
        <f t="shared" si="19"/>
        <v>9.9715947600500197E-3</v>
      </c>
      <c r="NE10" s="99">
        <f t="shared" si="19"/>
        <v>9.2348916885876681E-3</v>
      </c>
      <c r="NF10" s="99">
        <f t="shared" si="19"/>
        <v>8.538712537014952E-3</v>
      </c>
      <c r="NG10" s="99">
        <f t="shared" si="19"/>
        <v>7.8821805909402003E-3</v>
      </c>
      <c r="NH10" s="99">
        <f t="shared" si="19"/>
        <v>7.2642999800978623E-3</v>
      </c>
      <c r="NI10" s="99">
        <f t="shared" si="19"/>
        <v>6.6839710565306217E-3</v>
      </c>
      <c r="NJ10" s="99">
        <f t="shared" si="19"/>
        <v>6.1400053894268168E-3</v>
      </c>
      <c r="NK10" s="99">
        <f t="shared" si="19"/>
        <v>5.631140266317944E-3</v>
      </c>
      <c r="NL10" s="99">
        <f t="shared" si="19"/>
        <v>5.15605260444794E-3</v>
      </c>
      <c r="NM10" s="99">
        <f t="shared" si="19"/>
        <v>4.7133721903049883E-3</v>
      </c>
      <c r="NN10" s="99">
        <f t="shared" si="19"/>
        <v>4.3016941793543022E-3</v>
      </c>
      <c r="NO10" s="99">
        <f t="shared" si="19"/>
        <v>3.9195908017404524E-3</v>
      </c>
      <c r="NP10" s="99">
        <f t="shared" si="19"/>
        <v>3.5656222329748587E-3</v>
      </c>
      <c r="NQ10" s="99">
        <f t="shared" si="19"/>
        <v>3.2383466012439791E-3</v>
      </c>
      <c r="NR10" s="99">
        <f t="shared" si="19"/>
        <v>2.9363291148446448E-3</v>
      </c>
      <c r="NS10" s="99">
        <f t="shared" si="19"/>
        <v>2.6581503042750424E-3</v>
      </c>
      <c r="NT10" s="99">
        <f t="shared" si="19"/>
        <v>2.4024133836052929E-3</v>
      </c>
      <c r="NU10" s="99">
        <f t="shared" si="19"/>
        <v>2.1677507448642375E-3</v>
      </c>
      <c r="NV10" s="99">
        <f t="shared" si="19"/>
        <v>1.9528296072725913E-3</v>
      </c>
      <c r="NW10" s="99">
        <f t="shared" si="19"/>
        <v>1.7563568502105618E-3</v>
      </c>
      <c r="NX10" s="99">
        <f t="shared" si="19"/>
        <v>1.577083064830623E-3</v>
      </c>
      <c r="NY10" s="99">
        <f t="shared" si="19"/>
        <v>1.4138058642303327E-3</v>
      </c>
      <c r="NZ10" s="99">
        <f t="shared" si="19"/>
        <v>1.2653724961163789E-3</v>
      </c>
      <c r="OA10" s="99">
        <f t="shared" si="19"/>
        <v>1.1306818049623523E-3</v>
      </c>
      <c r="OB10" s="99">
        <f t="shared" si="19"/>
        <v>1.0086855928422092E-3</v>
      </c>
      <c r="OC10" s="99">
        <f t="shared" si="19"/>
        <v>8.9838942947035628E-4</v>
      </c>
      <c r="OD10" s="99">
        <f t="shared" si="19"/>
        <v>7.9885296256565193E-4</v>
      </c>
      <c r="OE10" s="99">
        <f t="shared" si="19"/>
        <v>7.0918977955275486E-4</v>
      </c>
      <c r="OF10" s="99">
        <f t="shared" si="19"/>
        <v>6.2856687089550643E-4</v>
      </c>
      <c r="OG10" s="99">
        <f t="shared" si="19"/>
        <v>5.5620374410002716E-4</v>
      </c>
      <c r="OH10" s="99">
        <f t="shared" si="19"/>
        <v>4.9137123570644752E-4</v>
      </c>
      <c r="OI10" s="99">
        <f t="shared" si="19"/>
        <v>4.3339006648279255E-4</v>
      </c>
      <c r="OJ10" s="99">
        <f t="shared" si="19"/>
        <v>3.8162918261512579E-4</v>
      </c>
      <c r="OK10" s="99">
        <f t="shared" si="19"/>
        <v>3.3550392302373878E-4</v>
      </c>
      <c r="OL10" s="99">
        <f t="shared" si="19"/>
        <v>2.9447405009096293E-4</v>
      </c>
      <c r="OM10" s="99">
        <f t="shared" si="19"/>
        <v>2.5804167812217292E-4</v>
      </c>
      <c r="ON10" s="99">
        <f t="shared" si="19"/>
        <v>2.2574913083262742E-4</v>
      </c>
      <c r="OO10" s="99">
        <f t="shared" si="19"/>
        <v>1.9717675610828281E-4</v>
      </c>
      <c r="OP10" s="99">
        <f t="shared" si="19"/>
        <v>1.719407232722018E-4</v>
      </c>
      <c r="OQ10" s="99">
        <f t="shared" si="19"/>
        <v>1.4969082513754055E-4</v>
      </c>
      <c r="OR10" s="99">
        <f t="shared" si="19"/>
        <v>1.301083042754686E-4</v>
      </c>
      <c r="OS10" s="99">
        <f t="shared" si="19"/>
        <v>1.1290372019845632E-4</v>
      </c>
      <c r="OT10" s="99">
        <f t="shared" si="19"/>
        <v>9.7814871577527946E-5</v>
      </c>
      <c r="OU10" s="99">
        <f t="shared" si="19"/>
        <v>8.4604785192787883E-5</v>
      </c>
      <c r="OV10" s="99">
        <f t="shared" si="19"/>
        <v>7.3059781071638499E-5</v>
      </c>
      <c r="OW10" s="99">
        <f t="shared" si="19"/>
        <v>6.2987621206293083E-5</v>
      </c>
      <c r="OX10" s="99">
        <f t="shared" si="19"/>
        <v>5.421574736534685E-5</v>
      </c>
      <c r="OY10" s="99">
        <f t="shared" si="19"/>
        <v>4.6589611823879094E-5</v>
      </c>
      <c r="OZ10" s="99">
        <f t="shared" ref="OZ10:PH10" si="20">IF(AND($D$21&gt;0,$D$22&gt;0),IF(AND(HG4&gt;$D$22),OZ4,0),"")</f>
        <v>3.9971103330492384E-5</v>
      </c>
      <c r="PA10" s="99">
        <f t="shared" si="20"/>
        <v>3.4237069303066742E-5</v>
      </c>
      <c r="PB10" s="99">
        <f t="shared" si="20"/>
        <v>2.9277934090980052E-5</v>
      </c>
      <c r="PC10" s="99">
        <f t="shared" si="20"/>
        <v>2.4996412151645843E-5</v>
      </c>
      <c r="PD10" s="99">
        <f t="shared" si="20"/>
        <v>2.1306314153669125E-5</v>
      </c>
      <c r="PE10" s="99">
        <f t="shared" si="20"/>
        <v>1.8131443327035387E-5</v>
      </c>
      <c r="PF10" s="99">
        <f t="shared" si="20"/>
        <v>1.5404578821190045E-5</v>
      </c>
      <c r="PG10" s="99">
        <f t="shared" si="20"/>
        <v>1.3066542392966041E-5</v>
      </c>
      <c r="PH10" s="99">
        <f t="shared" si="20"/>
        <v>1.1065344416292073E-5</v>
      </c>
    </row>
    <row r="11" spans="1:425" ht="18.5" customHeight="1" thickBot="1">
      <c r="A11" s="166" t="s">
        <v>634</v>
      </c>
      <c r="B11" s="167">
        <f>(B10-B9)+1</f>
        <v>3</v>
      </c>
      <c r="C11" s="168"/>
      <c r="D11" s="169"/>
      <c r="H11" s="3"/>
      <c r="I11" s="3"/>
      <c r="J11" s="3"/>
      <c r="K11" s="3"/>
      <c r="L11" s="3"/>
      <c r="M11" s="3"/>
      <c r="N11" s="3"/>
      <c r="O11" s="3"/>
      <c r="P11" s="3"/>
      <c r="Q11" s="3"/>
      <c r="R11" s="3"/>
      <c r="S11" s="3"/>
      <c r="T11" s="3"/>
      <c r="U11" s="3"/>
      <c r="HP11" s="116">
        <f>MAX(HP8:HP10)</f>
        <v>2.6411860127023769E-5</v>
      </c>
      <c r="HQ11" s="116">
        <f t="shared" ref="HQ11:KB11" si="21">MAX(HQ8:HQ10)</f>
        <v>3.0918356024190582E-5</v>
      </c>
      <c r="HR11" s="116">
        <f t="shared" si="21"/>
        <v>3.6134928534170061E-5</v>
      </c>
      <c r="HS11" s="116">
        <f t="shared" si="21"/>
        <v>4.2162990615244138E-5</v>
      </c>
      <c r="HT11" s="116">
        <f t="shared" si="21"/>
        <v>4.9116681499027982E-5</v>
      </c>
      <c r="HU11" s="116">
        <f t="shared" si="21"/>
        <v>5.7124186284421039E-5</v>
      </c>
      <c r="HV11" s="116">
        <f t="shared" si="21"/>
        <v>6.6329150948258174E-5</v>
      </c>
      <c r="HW11" s="116">
        <f t="shared" si="21"/>
        <v>7.6892193599107796E-5</v>
      </c>
      <c r="HX11" s="116">
        <f t="shared" si="21"/>
        <v>8.8992511754822104E-5</v>
      </c>
      <c r="HY11" s="116">
        <f t="shared" si="21"/>
        <v>1.0282958421137581E-4</v>
      </c>
      <c r="HZ11" s="116">
        <f t="shared" si="21"/>
        <v>1.1862496468227354E-4</v>
      </c>
      <c r="IA11" s="116">
        <f t="shared" si="21"/>
        <v>1.3662416281819885E-4</v>
      </c>
      <c r="IB11" s="116">
        <f t="shared" si="21"/>
        <v>1.5709860646163779E-4</v>
      </c>
      <c r="IC11" s="116">
        <f t="shared" si="21"/>
        <v>1.8034767704957122E-4</v>
      </c>
      <c r="ID11" s="116">
        <f t="shared" si="21"/>
        <v>2.0670080795067187E-4</v>
      </c>
      <c r="IE11" s="116">
        <f t="shared" si="21"/>
        <v>2.3651963321691529E-4</v>
      </c>
      <c r="IF11" s="116">
        <f t="shared" si="21"/>
        <v>2.7020017175222465E-4</v>
      </c>
      <c r="IG11" s="116">
        <f t="shared" si="21"/>
        <v>3.0817502926609231E-4</v>
      </c>
      <c r="IH11" s="116">
        <f t="shared" si="21"/>
        <v>3.509155976062165E-4</v>
      </c>
      <c r="II11" s="116">
        <f t="shared" si="21"/>
        <v>3.989342281742321E-4</v>
      </c>
      <c r="IJ11" s="116">
        <f t="shared" si="21"/>
        <v>4.5278635315117258E-4</v>
      </c>
      <c r="IK11" s="116">
        <f t="shared" si="21"/>
        <v>5.1307252522847784E-4</v>
      </c>
      <c r="IL11" s="116">
        <f t="shared" si="21"/>
        <v>5.8044034349603879E-4</v>
      </c>
      <c r="IM11" s="116">
        <f t="shared" si="21"/>
        <v>6.5558623012650444E-4</v>
      </c>
      <c r="IN11" s="116">
        <f t="shared" si="21"/>
        <v>7.3925701956617366E-4</v>
      </c>
      <c r="IO11" s="116">
        <f t="shared" si="21"/>
        <v>8.3225131915396768E-4</v>
      </c>
      <c r="IP11" s="116">
        <f t="shared" si="21"/>
        <v>9.3542059750312983E-4</v>
      </c>
      <c r="IQ11" s="116">
        <f t="shared" si="21"/>
        <v>1.0496699546618511E-3</v>
      </c>
      <c r="IR11" s="116">
        <f t="shared" si="21"/>
        <v>1.1759585260895328E-3</v>
      </c>
      <c r="IS11" s="116">
        <f t="shared" si="21"/>
        <v>1.3152994709183159E-3</v>
      </c>
      <c r="IT11" s="116">
        <f t="shared" si="21"/>
        <v>1.4687594938907343E-3</v>
      </c>
      <c r="IU11" s="116">
        <f t="shared" si="21"/>
        <v>1.637457849850435E-3</v>
      </c>
      <c r="IV11" s="116">
        <f t="shared" si="21"/>
        <v>1.8225647797902699E-3</v>
      </c>
      <c r="IW11" s="116">
        <f t="shared" si="21"/>
        <v>2.0252993283052323E-3</v>
      </c>
      <c r="IX11" s="116">
        <f t="shared" si="21"/>
        <v>2.246926493927652E-3</v>
      </c>
      <c r="IY11" s="116">
        <f t="shared" si="21"/>
        <v>2.4887536663045782E-3</v>
      </c>
      <c r="IZ11" s="116">
        <f t="shared" si="21"/>
        <v>2.7521263075712373E-3</v>
      </c>
      <c r="JA11" s="116">
        <f t="shared" si="21"/>
        <v>3.0384228396294266E-3</v>
      </c>
      <c r="JB11" s="116">
        <f t="shared" si="21"/>
        <v>3.3490487043947468E-3</v>
      </c>
      <c r="JC11" s="116">
        <f t="shared" si="21"/>
        <v>3.6854295704575788E-3</v>
      </c>
      <c r="JD11" s="116">
        <f t="shared" si="21"/>
        <v>4.0490036670209461E-3</v>
      </c>
      <c r="JE11" s="116">
        <f t="shared" si="21"/>
        <v>4.4412132344287545E-3</v>
      </c>
      <c r="JF11" s="116">
        <f t="shared" si="21"/>
        <v>4.8634950900568125E-3</v>
      </c>
      <c r="JG11" s="116">
        <f t="shared" si="21"/>
        <v>5.3172703187637843E-3</v>
      </c>
      <c r="JH11" s="116">
        <f t="shared" si="21"/>
        <v>5.8039331084258289E-3</v>
      </c>
      <c r="JI11" s="116">
        <f t="shared" si="21"/>
        <v>6.3248387632222026E-3</v>
      </c>
      <c r="JJ11" s="116">
        <f t="shared" si="21"/>
        <v>6.8812909401915973E-3</v>
      </c>
      <c r="JK11" s="116">
        <f t="shared" si="21"/>
        <v>7.4745281680114427E-3</v>
      </c>
      <c r="JL11" s="116">
        <f t="shared" si="21"/>
        <v>8.1057097208122476E-3</v>
      </c>
      <c r="JM11" s="116">
        <f t="shared" si="21"/>
        <v>8.7759009339548281E-3</v>
      </c>
      <c r="JN11" s="116">
        <f t="shared" si="21"/>
        <v>9.4860580628759548E-3</v>
      </c>
      <c r="JO11" s="116">
        <f t="shared" si="21"/>
        <v>1.0237012800138707E-2</v>
      </c>
      <c r="JP11" s="116">
        <f t="shared" si="21"/>
        <v>1.1029456579479688E-2</v>
      </c>
      <c r="JQ11" s="116">
        <f t="shared" si="21"/>
        <v>1.186392480868919E-2</v>
      </c>
      <c r="JR11" s="116">
        <f t="shared" si="21"/>
        <v>1.2740781185342701E-2</v>
      </c>
      <c r="JS11" s="116">
        <f t="shared" si="21"/>
        <v>1.3660202260469821E-2</v>
      </c>
      <c r="JT11" s="116">
        <f t="shared" si="21"/>
        <v>1.4622162424944418E-2</v>
      </c>
      <c r="JU11" s="116">
        <f t="shared" si="21"/>
        <v>1.5626419501456084E-2</v>
      </c>
      <c r="JV11" s="116">
        <f t="shared" si="21"/>
        <v>1.6672501131133867E-2</v>
      </c>
      <c r="JW11" s="116">
        <f t="shared" si="21"/>
        <v>1.7759692148009727E-2</v>
      </c>
      <c r="JX11" s="116">
        <f t="shared" si="21"/>
        <v>1.888702313631839E-2</v>
      </c>
      <c r="JY11" s="116">
        <f t="shared" si="21"/>
        <v>2.0053260364946264E-2</v>
      </c>
      <c r="JZ11" s="116">
        <f t="shared" si="21"/>
        <v>2.1256897290004958E-2</v>
      </c>
      <c r="KA11" s="116">
        <f t="shared" si="21"/>
        <v>2.249614781039088E-2</v>
      </c>
      <c r="KB11" s="116">
        <f t="shared" si="21"/>
        <v>2.3768941452214341E-2</v>
      </c>
      <c r="KC11" s="116">
        <f t="shared" ref="KC11:MN11" si="22">MAX(KC8:KC10)</f>
        <v>2.507292064609639E-2</v>
      </c>
      <c r="KD11" s="116">
        <f t="shared" si="22"/>
        <v>2.6405440246540717E-2</v>
      </c>
      <c r="KE11" s="116">
        <f t="shared" si="22"/>
        <v>2.7763569424942035E-2</v>
      </c>
      <c r="KF11" s="116">
        <f t="shared" si="22"/>
        <v>2.9144096047393521E-2</v>
      </c>
      <c r="KG11" s="116">
        <f t="shared" si="22"/>
        <v>3.0543533625455439E-2</v>
      </c>
      <c r="KH11" s="116">
        <f t="shared" si="22"/>
        <v>3.1958130902651635E-2</v>
      </c>
      <c r="KI11" s="116">
        <f t="shared" si="22"/>
        <v>3.3383884111923876E-2</v>
      </c>
      <c r="KJ11" s="116">
        <f t="shared" si="22"/>
        <v>3.4816551909900961E-2</v>
      </c>
      <c r="KK11" s="116">
        <f t="shared" si="22"/>
        <v>3.6251672962980076E-2</v>
      </c>
      <c r="KL11" s="116">
        <f t="shared" si="22"/>
        <v>3.7684586128262088E-2</v>
      </c>
      <c r="KM11" s="116">
        <f t="shared" si="22"/>
        <v>3.9110453139759978E-2</v>
      </c>
      <c r="KN11" s="116">
        <f t="shared" si="22"/>
        <v>4.0524283677465203E-2</v>
      </c>
      <c r="KO11" s="116">
        <f t="shared" si="22"/>
        <v>4.1920962664293758E-2</v>
      </c>
      <c r="KP11" s="116">
        <f t="shared" si="22"/>
        <v>4.3295279604136844E-2</v>
      </c>
      <c r="KQ11" s="116">
        <f t="shared" si="22"/>
        <v>4.4641959743712781E-2</v>
      </c>
      <c r="KR11" s="116">
        <f t="shared" si="22"/>
        <v>4.5955696812159781E-2</v>
      </c>
      <c r="KS11" s="116">
        <f t="shared" si="22"/>
        <v>4.7231187065811184E-2</v>
      </c>
      <c r="KT11" s="116">
        <f t="shared" si="22"/>
        <v>4.8463164341827E-2</v>
      </c>
      <c r="KU11" s="116">
        <f t="shared" si="22"/>
        <v>4.9646435803756161E-2</v>
      </c>
      <c r="KV11" s="116">
        <f t="shared" si="22"/>
        <v>5.0775918045075481E-2</v>
      </c>
      <c r="KW11" s="116">
        <f t="shared" si="22"/>
        <v>5.184667320364663E-2</v>
      </c>
      <c r="KX11" s="116">
        <f t="shared" si="22"/>
        <v>5.2853944731152701E-2</v>
      </c>
      <c r="KY11" s="116">
        <f t="shared" si="22"/>
        <v>5.3793192457156642E-2</v>
      </c>
      <c r="KZ11" s="116">
        <f t="shared" si="22"/>
        <v>5.4660126587638302E-2</v>
      </c>
      <c r="LA11" s="116">
        <f t="shared" si="22"/>
        <v>5.5450740282810294E-2</v>
      </c>
      <c r="LB11" s="116">
        <f t="shared" si="22"/>
        <v>5.616134046871081E-2</v>
      </c>
      <c r="LC11" s="116">
        <f t="shared" si="22"/>
        <v>5.6788576551466831E-2</v>
      </c>
      <c r="LD11" s="116">
        <f t="shared" si="22"/>
        <v>5.7329466722083555E-2</v>
      </c>
      <c r="LE11" s="116">
        <f t="shared" si="22"/>
        <v>5.7781421562934303E-2</v>
      </c>
      <c r="LF11" s="116">
        <f t="shared" si="22"/>
        <v>5.8142264694517123E-2</v>
      </c>
      <c r="LG11" s="116">
        <f t="shared" si="22"/>
        <v>5.8410250232155465E-2</v>
      </c>
      <c r="LH11" s="116">
        <f t="shared" si="22"/>
        <v>5.8584076856732906E-2</v>
      </c>
      <c r="LI11" s="116">
        <f t="shared" si="22"/>
        <v>5.8662898340789651E-2</v>
      </c>
      <c r="LJ11" s="116">
        <f t="shared" si="22"/>
        <v>5.8646330410845209E-2</v>
      </c>
      <c r="LK11" s="116">
        <f t="shared" si="22"/>
        <v>5.8534453868081052E-2</v>
      </c>
      <c r="LL11" s="116">
        <f t="shared" si="22"/>
        <v>5.8327813931922719E-2</v>
      </c>
      <c r="LM11" s="116">
        <f t="shared" si="22"/>
        <v>5.8027415813982429E-2</v>
      </c>
      <c r="LN11" s="116">
        <f t="shared" si="22"/>
        <v>5.7634716572638127E-2</v>
      </c>
      <c r="LO11" s="116">
        <f t="shared" si="22"/>
        <v>5.7151613340603848E-2</v>
      </c>
      <c r="LP11" s="116">
        <f t="shared" si="22"/>
        <v>5.6580428058581218E-2</v>
      </c>
      <c r="LQ11" s="116">
        <f t="shared" si="22"/>
        <v>5.5923888886882371E-2</v>
      </c>
      <c r="LR11" s="116">
        <f t="shared" si="22"/>
        <v>5.518510850322874E-2</v>
      </c>
      <c r="LS11" s="116">
        <f t="shared" si="22"/>
        <v>5.436755952824724E-2</v>
      </c>
      <c r="LT11" s="116">
        <f t="shared" si="22"/>
        <v>5.3475047350050139E-2</v>
      </c>
      <c r="LU11" s="116">
        <f t="shared" si="22"/>
        <v>5.2511680645298077E-2</v>
      </c>
      <c r="LV11" s="116">
        <f t="shared" si="22"/>
        <v>5.1481839915981036E-2</v>
      </c>
      <c r="LW11" s="116">
        <f t="shared" si="22"/>
        <v>5.0390144378547663E-2</v>
      </c>
      <c r="LX11" s="116">
        <f t="shared" si="22"/>
        <v>4.9241417554789266E-2</v>
      </c>
      <c r="LY11" s="116">
        <f t="shared" si="22"/>
        <v>4.8040651921933825E-2</v>
      </c>
      <c r="LZ11" s="116">
        <f t="shared" si="22"/>
        <v>4.6792972982700437E-2</v>
      </c>
      <c r="MA11" s="116">
        <f t="shared" si="22"/>
        <v>4.5503603114655122E-2</v>
      </c>
      <c r="MB11" s="116">
        <f t="shared" si="22"/>
        <v>4.4177825552218171E-2</v>
      </c>
      <c r="MC11" s="116">
        <f t="shared" si="22"/>
        <v>4.2820948844296179E-2</v>
      </c>
      <c r="MD11" s="116">
        <f t="shared" si="22"/>
        <v>4.1438272116007875E-2</v>
      </c>
      <c r="ME11" s="116">
        <f t="shared" si="22"/>
        <v>4.0035051444661927E-2</v>
      </c>
      <c r="MF11" s="116">
        <f t="shared" si="22"/>
        <v>3.8616467638397642E-2</v>
      </c>
      <c r="MG11" s="116">
        <f t="shared" si="22"/>
        <v>3.7187595681132259E-2</v>
      </c>
      <c r="MH11" s="116">
        <f t="shared" si="22"/>
        <v>3.5753376080121732E-2</v>
      </c>
      <c r="MI11" s="116">
        <f t="shared" si="22"/>
        <v>3.431858832301328E-2</v>
      </c>
      <c r="MJ11" s="116">
        <f t="shared" si="22"/>
        <v>3.2887826620242838E-2</v>
      </c>
      <c r="MK11" s="116">
        <f t="shared" si="22"/>
        <v>3.1465478076510026E-2</v>
      </c>
      <c r="ML11" s="116">
        <f t="shared" si="22"/>
        <v>3.0055703402350992E-2</v>
      </c>
      <c r="MM11" s="116">
        <f t="shared" si="22"/>
        <v>2.8662420244014872E-2</v>
      </c>
      <c r="MN11" s="116">
        <f t="shared" si="22"/>
        <v>2.7289289177408398E-2</v>
      </c>
      <c r="MO11" s="116">
        <f t="shared" ref="MO11:OZ11" si="23">MAX(MO8:MO10)</f>
        <v>2.5939702380250982E-2</v>
      </c>
      <c r="MP11" s="116">
        <f t="shared" si="23"/>
        <v>2.4616774966197387E-2</v>
      </c>
      <c r="MQ11" s="116">
        <f t="shared" si="23"/>
        <v>2.3323338935911923E-2</v>
      </c>
      <c r="MR11" s="116">
        <f t="shared" si="23"/>
        <v>2.2061939673253067E-2</v>
      </c>
      <c r="MS11" s="116">
        <f t="shared" si="23"/>
        <v>2.0834834890136922E-2</v>
      </c>
      <c r="MT11" s="116">
        <f t="shared" si="23"/>
        <v>1.9643995901530657E-2</v>
      </c>
      <c r="MU11" s="116">
        <f t="shared" si="23"/>
        <v>1.8491111092568881E-2</v>
      </c>
      <c r="MV11" s="116">
        <f t="shared" si="23"/>
        <v>1.7377591423122982E-2</v>
      </c>
      <c r="MW11" s="116">
        <f t="shared" si="23"/>
        <v>1.6304577801367841E-2</v>
      </c>
      <c r="MX11" s="116">
        <f t="shared" si="23"/>
        <v>1.5272950147016993E-2</v>
      </c>
      <c r="MY11" s="116">
        <f t="shared" si="23"/>
        <v>1.4283337956920751E-2</v>
      </c>
      <c r="MZ11" s="116">
        <f t="shared" si="23"/>
        <v>1.3336132180584017E-2</v>
      </c>
      <c r="NA11" s="116">
        <f t="shared" si="23"/>
        <v>1.2431498210760179E-2</v>
      </c>
      <c r="NB11" s="116">
        <f t="shared" si="23"/>
        <v>1.156938979447918E-2</v>
      </c>
      <c r="NC11" s="116">
        <f t="shared" si="23"/>
        <v>1.0749563672500404E-2</v>
      </c>
      <c r="ND11" s="116">
        <f t="shared" si="23"/>
        <v>9.9715947600500197E-3</v>
      </c>
      <c r="NE11" s="116">
        <f t="shared" si="23"/>
        <v>9.2348916885876681E-3</v>
      </c>
      <c r="NF11" s="116">
        <f t="shared" si="23"/>
        <v>8.538712537014952E-3</v>
      </c>
      <c r="NG11" s="116">
        <f t="shared" si="23"/>
        <v>7.8821805909402003E-3</v>
      </c>
      <c r="NH11" s="116">
        <f t="shared" si="23"/>
        <v>7.2642999800978623E-3</v>
      </c>
      <c r="NI11" s="116">
        <f t="shared" si="23"/>
        <v>6.6839710565306217E-3</v>
      </c>
      <c r="NJ11" s="116">
        <f t="shared" si="23"/>
        <v>6.1400053894268168E-3</v>
      </c>
      <c r="NK11" s="116">
        <f t="shared" si="23"/>
        <v>5.631140266317944E-3</v>
      </c>
      <c r="NL11" s="116">
        <f t="shared" si="23"/>
        <v>5.15605260444794E-3</v>
      </c>
      <c r="NM11" s="116">
        <f t="shared" si="23"/>
        <v>4.7133721903049883E-3</v>
      </c>
      <c r="NN11" s="116">
        <f t="shared" si="23"/>
        <v>4.3016941793543022E-3</v>
      </c>
      <c r="NO11" s="116">
        <f t="shared" si="23"/>
        <v>3.9195908017404524E-3</v>
      </c>
      <c r="NP11" s="116">
        <f t="shared" si="23"/>
        <v>3.5656222329748587E-3</v>
      </c>
      <c r="NQ11" s="116">
        <f t="shared" si="23"/>
        <v>3.2383466012439791E-3</v>
      </c>
      <c r="NR11" s="116">
        <f t="shared" si="23"/>
        <v>2.9363291148446448E-3</v>
      </c>
      <c r="NS11" s="116">
        <f t="shared" si="23"/>
        <v>2.6581503042750424E-3</v>
      </c>
      <c r="NT11" s="116">
        <f t="shared" si="23"/>
        <v>2.4024133836052929E-3</v>
      </c>
      <c r="NU11" s="116">
        <f t="shared" si="23"/>
        <v>2.1677507448642375E-3</v>
      </c>
      <c r="NV11" s="116">
        <f t="shared" si="23"/>
        <v>1.9528296072725913E-3</v>
      </c>
      <c r="NW11" s="116">
        <f t="shared" si="23"/>
        <v>1.7563568502105618E-3</v>
      </c>
      <c r="NX11" s="116">
        <f t="shared" si="23"/>
        <v>1.577083064830623E-3</v>
      </c>
      <c r="NY11" s="116">
        <f t="shared" si="23"/>
        <v>1.4138058642303327E-3</v>
      </c>
      <c r="NZ11" s="116">
        <f t="shared" si="23"/>
        <v>1.2653724961163789E-3</v>
      </c>
      <c r="OA11" s="116">
        <f t="shared" si="23"/>
        <v>1.1306818049623523E-3</v>
      </c>
      <c r="OB11" s="116">
        <f t="shared" si="23"/>
        <v>1.0086855928422092E-3</v>
      </c>
      <c r="OC11" s="116">
        <f t="shared" si="23"/>
        <v>8.9838942947035628E-4</v>
      </c>
      <c r="OD11" s="116">
        <f t="shared" si="23"/>
        <v>7.9885296256565193E-4</v>
      </c>
      <c r="OE11" s="116">
        <f t="shared" si="23"/>
        <v>7.0918977955275486E-4</v>
      </c>
      <c r="OF11" s="116">
        <f t="shared" si="23"/>
        <v>6.2856687089550643E-4</v>
      </c>
      <c r="OG11" s="116">
        <f t="shared" si="23"/>
        <v>5.5620374410002716E-4</v>
      </c>
      <c r="OH11" s="116">
        <f t="shared" si="23"/>
        <v>4.9137123570644752E-4</v>
      </c>
      <c r="OI11" s="116">
        <f t="shared" si="23"/>
        <v>4.3339006648279255E-4</v>
      </c>
      <c r="OJ11" s="116">
        <f t="shared" si="23"/>
        <v>3.8162918261512579E-4</v>
      </c>
      <c r="OK11" s="116">
        <f t="shared" si="23"/>
        <v>3.3550392302373878E-4</v>
      </c>
      <c r="OL11" s="116">
        <f t="shared" si="23"/>
        <v>2.9447405009096293E-4</v>
      </c>
      <c r="OM11" s="116">
        <f t="shared" si="23"/>
        <v>2.5804167812217292E-4</v>
      </c>
      <c r="ON11" s="116">
        <f t="shared" si="23"/>
        <v>2.2574913083262742E-4</v>
      </c>
      <c r="OO11" s="116">
        <f t="shared" si="23"/>
        <v>1.9717675610828281E-4</v>
      </c>
      <c r="OP11" s="116">
        <f t="shared" si="23"/>
        <v>1.719407232722018E-4</v>
      </c>
      <c r="OQ11" s="116">
        <f t="shared" si="23"/>
        <v>1.4969082513754055E-4</v>
      </c>
      <c r="OR11" s="116">
        <f t="shared" si="23"/>
        <v>1.301083042754686E-4</v>
      </c>
      <c r="OS11" s="116">
        <f t="shared" si="23"/>
        <v>1.1290372019845632E-4</v>
      </c>
      <c r="OT11" s="116">
        <f t="shared" si="23"/>
        <v>9.7814871577527946E-5</v>
      </c>
      <c r="OU11" s="116">
        <f t="shared" si="23"/>
        <v>8.4604785192787883E-5</v>
      </c>
      <c r="OV11" s="116">
        <f t="shared" si="23"/>
        <v>7.3059781071638499E-5</v>
      </c>
      <c r="OW11" s="116">
        <f t="shared" si="23"/>
        <v>6.2987621206293083E-5</v>
      </c>
      <c r="OX11" s="116">
        <f t="shared" si="23"/>
        <v>5.421574736534685E-5</v>
      </c>
      <c r="OY11" s="116">
        <f t="shared" si="23"/>
        <v>4.6589611823879094E-5</v>
      </c>
      <c r="OZ11" s="116">
        <f t="shared" si="23"/>
        <v>3.9971103330492384E-5</v>
      </c>
      <c r="PA11" s="116">
        <f t="shared" ref="PA11:PH11" si="24">MAX(PA8:PA10)</f>
        <v>3.4237069303066742E-5</v>
      </c>
      <c r="PB11" s="116">
        <f t="shared" si="24"/>
        <v>2.9277934090980052E-5</v>
      </c>
      <c r="PC11" s="116">
        <f t="shared" si="24"/>
        <v>2.4996412151645843E-5</v>
      </c>
      <c r="PD11" s="116">
        <f t="shared" si="24"/>
        <v>2.1306314153669125E-5</v>
      </c>
      <c r="PE11" s="116">
        <f t="shared" si="24"/>
        <v>1.8131443327035387E-5</v>
      </c>
      <c r="PF11" s="116">
        <f t="shared" si="24"/>
        <v>1.5404578821190045E-5</v>
      </c>
      <c r="PG11" s="116">
        <f t="shared" si="24"/>
        <v>1.3066542392966041E-5</v>
      </c>
      <c r="PH11" s="116">
        <f t="shared" si="24"/>
        <v>1.1065344416292073E-5</v>
      </c>
    </row>
    <row r="12" spans="1:425" ht="18.5" customHeight="1">
      <c r="A12" s="170" t="s">
        <v>639</v>
      </c>
      <c r="B12" s="171">
        <v>90</v>
      </c>
      <c r="C12" s="172" t="s">
        <v>632</v>
      </c>
      <c r="D12" s="173">
        <f>IF(ISNUMBER(B12),($G$7+B12)-1,"")</f>
        <v>46112</v>
      </c>
      <c r="H12" s="3"/>
      <c r="I12" s="3"/>
      <c r="J12" s="3"/>
      <c r="K12" s="3"/>
      <c r="L12" s="3"/>
      <c r="M12" s="3"/>
      <c r="N12" s="3"/>
      <c r="O12" s="3"/>
      <c r="P12" s="3"/>
      <c r="Q12" s="3"/>
      <c r="R12" s="3"/>
      <c r="S12" s="3"/>
      <c r="T12" s="3"/>
      <c r="U12" s="3"/>
    </row>
    <row r="13" spans="1:425" ht="18.5" customHeight="1">
      <c r="A13" s="174" t="s">
        <v>640</v>
      </c>
      <c r="B13" s="157">
        <v>92</v>
      </c>
      <c r="C13" s="159" t="s">
        <v>633</v>
      </c>
      <c r="D13" s="175">
        <f>IF(ISNUMBER(B13),($G$7+B13)-1,"")</f>
        <v>46114</v>
      </c>
      <c r="H13" s="3"/>
      <c r="I13" s="3"/>
      <c r="J13" s="3"/>
      <c r="K13" s="3"/>
      <c r="L13" s="3"/>
      <c r="M13" s="3"/>
      <c r="N13" s="3"/>
      <c r="O13" s="3"/>
      <c r="P13" s="3"/>
      <c r="Q13" s="3"/>
      <c r="R13" s="3"/>
      <c r="S13" s="3"/>
      <c r="T13" s="3"/>
      <c r="U13" s="3"/>
    </row>
    <row r="14" spans="1:425" ht="18.5" customHeight="1" thickBot="1">
      <c r="A14" s="176" t="s">
        <v>634</v>
      </c>
      <c r="B14" s="167">
        <f>IF(OR(B12="",B13=""),"",(B13-B12)+1)</f>
        <v>3</v>
      </c>
      <c r="C14" s="177"/>
      <c r="D14" s="178"/>
      <c r="H14" s="3"/>
      <c r="I14" s="3"/>
      <c r="J14" s="3"/>
      <c r="K14" s="3"/>
      <c r="L14" s="3"/>
      <c r="M14" s="3"/>
      <c r="N14" s="3"/>
      <c r="O14" s="3"/>
      <c r="P14" s="3"/>
      <c r="Q14" s="3"/>
      <c r="R14" s="3"/>
      <c r="S14" s="3"/>
      <c r="T14" s="3"/>
      <c r="U14" s="3"/>
    </row>
    <row r="15" spans="1:425">
      <c r="A15" s="3"/>
      <c r="H15" s="3"/>
      <c r="I15" s="3"/>
      <c r="J15" s="3"/>
      <c r="K15" s="3"/>
      <c r="L15" s="3"/>
      <c r="M15" s="3"/>
      <c r="N15" s="3"/>
      <c r="O15" s="3"/>
      <c r="P15" s="3"/>
      <c r="Q15" s="3"/>
      <c r="R15" s="3"/>
      <c r="S15" s="3"/>
      <c r="T15" s="3"/>
      <c r="U15" s="3"/>
    </row>
    <row r="16" spans="1:425" ht="15.75">
      <c r="A16" s="3"/>
      <c r="B16" s="3"/>
      <c r="C16" s="17" t="s">
        <v>620</v>
      </c>
      <c r="D16" s="129">
        <v>0.5</v>
      </c>
      <c r="H16" s="3"/>
      <c r="I16" s="3"/>
      <c r="J16" s="3"/>
      <c r="K16" s="3"/>
      <c r="L16" s="3"/>
      <c r="M16" s="3"/>
      <c r="N16" s="3"/>
      <c r="O16" s="3"/>
      <c r="P16" s="3"/>
      <c r="Q16" s="3"/>
      <c r="R16" s="3"/>
      <c r="S16" s="3"/>
      <c r="T16" s="3"/>
      <c r="U16" s="3"/>
    </row>
    <row r="17" spans="1:21" ht="15.75">
      <c r="A17" s="3"/>
      <c r="C17" s="17" t="s">
        <v>621</v>
      </c>
      <c r="D17" s="54">
        <f>IF(AND(D16&gt;0,D16&lt;1,NOT(J5="")),_xlfn.NORM.INV((1-$D$16)/2,$G$5,$J$5),"")</f>
        <v>84.8801363653333</v>
      </c>
      <c r="E17" s="21"/>
      <c r="F17" s="23"/>
      <c r="G17" s="3"/>
      <c r="H17" s="3"/>
      <c r="I17" s="3"/>
      <c r="J17" s="3"/>
      <c r="K17" s="3"/>
      <c r="L17" s="3"/>
      <c r="M17" s="3"/>
      <c r="N17" s="3"/>
      <c r="O17" s="3"/>
      <c r="P17" s="3"/>
      <c r="Q17" s="3"/>
      <c r="R17" s="3"/>
      <c r="S17" s="3"/>
      <c r="T17" s="3"/>
      <c r="U17" s="3"/>
    </row>
    <row r="18" spans="1:21" ht="15.75">
      <c r="A18" s="3"/>
      <c r="B18" s="3"/>
      <c r="C18" s="17" t="s">
        <v>38</v>
      </c>
      <c r="D18" s="54">
        <f>IF(AND(D16&gt;0,D16&lt;1,NOT(J5="")),_xlfn.NORM.INV(($D$16+(1-$D$16)/2),$G$5,$J$5),"")</f>
        <v>94.053196968000009</v>
      </c>
      <c r="E18" s="22"/>
      <c r="F18" s="2"/>
      <c r="G18" s="3"/>
      <c r="H18" s="3"/>
      <c r="I18" s="3"/>
      <c r="J18" s="3"/>
      <c r="K18" s="3"/>
      <c r="L18" s="3"/>
      <c r="M18" s="3"/>
      <c r="N18" s="3"/>
      <c r="O18" s="3"/>
      <c r="P18" s="3"/>
      <c r="Q18" s="3"/>
      <c r="R18" s="3"/>
      <c r="S18" s="3"/>
      <c r="T18" s="3"/>
      <c r="U18" s="3"/>
    </row>
    <row r="19" spans="1:21" ht="15.75">
      <c r="A19" s="3"/>
      <c r="C19" s="17" t="s">
        <v>634</v>
      </c>
      <c r="D19" s="147">
        <f>(D18-D17)+1</f>
        <v>10.173060602666709</v>
      </c>
      <c r="E19" s="22"/>
      <c r="F19" s="2"/>
      <c r="G19" s="3"/>
      <c r="H19" s="3"/>
      <c r="I19" s="3"/>
      <c r="J19" s="3"/>
      <c r="K19" s="3"/>
      <c r="L19" s="3"/>
      <c r="M19" s="3"/>
      <c r="N19" s="3"/>
      <c r="O19" s="3"/>
      <c r="P19" s="3"/>
      <c r="Q19" s="3"/>
      <c r="R19" s="3"/>
      <c r="S19" s="3"/>
      <c r="T19" s="3"/>
      <c r="U19" s="3"/>
    </row>
    <row r="20" spans="1:21" ht="16.899999999999999">
      <c r="A20" s="3"/>
      <c r="B20" s="3"/>
      <c r="C20" s="17"/>
      <c r="D20" s="25"/>
      <c r="E20" s="22"/>
      <c r="F20" s="2"/>
      <c r="G20" s="3"/>
      <c r="H20" s="3"/>
      <c r="I20" s="3"/>
      <c r="J20" s="3"/>
      <c r="K20" s="3"/>
      <c r="L20" s="3"/>
      <c r="M20" s="3"/>
      <c r="N20" s="3"/>
      <c r="O20" s="3"/>
      <c r="P20" s="3"/>
      <c r="Q20" s="3"/>
      <c r="R20" s="3"/>
      <c r="S20" s="3"/>
      <c r="T20" s="3"/>
      <c r="U20" s="3"/>
    </row>
    <row r="21" spans="1:21" ht="15.75">
      <c r="A21" s="3"/>
      <c r="B21" s="3"/>
      <c r="C21" s="55" t="s">
        <v>12</v>
      </c>
      <c r="D21" s="128">
        <v>90</v>
      </c>
      <c r="E21" s="22"/>
      <c r="F21" s="29" t="s">
        <v>14</v>
      </c>
      <c r="G21" s="3"/>
      <c r="H21" s="3"/>
      <c r="I21" s="3"/>
      <c r="J21" s="3"/>
      <c r="K21" s="3"/>
      <c r="L21" s="3"/>
      <c r="M21" s="3"/>
      <c r="N21" s="3"/>
      <c r="O21" s="3"/>
      <c r="P21" s="3"/>
      <c r="Q21" s="3"/>
      <c r="R21" s="3"/>
      <c r="S21" s="3"/>
      <c r="T21" s="3"/>
      <c r="U21" s="3"/>
    </row>
    <row r="22" spans="1:21" ht="15.75">
      <c r="A22" s="3"/>
      <c r="B22" s="3"/>
      <c r="C22" s="55" t="s">
        <v>13</v>
      </c>
      <c r="D22" s="128">
        <v>92</v>
      </c>
      <c r="E22" s="22"/>
      <c r="F22" s="29" t="s">
        <v>15</v>
      </c>
      <c r="G22" s="3"/>
      <c r="H22" s="3"/>
      <c r="I22" s="3"/>
      <c r="J22" s="3"/>
      <c r="K22" s="3"/>
      <c r="L22" s="3"/>
      <c r="M22" s="3"/>
      <c r="N22" s="3"/>
      <c r="O22" s="3"/>
      <c r="P22" s="3"/>
      <c r="Q22" s="3"/>
      <c r="R22" s="3"/>
      <c r="S22" s="3"/>
      <c r="T22" s="3"/>
      <c r="U22" s="3"/>
    </row>
    <row r="23" spans="1:21" ht="16.899999999999999">
      <c r="A23" s="3"/>
      <c r="B23" s="3"/>
      <c r="C23" s="55" t="s">
        <v>39</v>
      </c>
      <c r="D23" s="26">
        <f>IF(AND($D$21&gt;0,$D$22&gt;0,$D$21&lt;$D$22,NOT(J5="")),_xlfn.NORM.DIST($D$22,$G$5,$J$5,TRUE)-_xlfn.NORM.DIST($D$21,$G$5,$J$5,TRUE),"")</f>
        <v>0.11400039841838627</v>
      </c>
      <c r="E23" s="22"/>
      <c r="F23" s="29" t="s">
        <v>28</v>
      </c>
      <c r="G23" s="3"/>
      <c r="H23" s="3"/>
      <c r="I23" s="3"/>
      <c r="J23" s="3"/>
      <c r="K23" s="3"/>
      <c r="L23" s="3"/>
      <c r="M23" s="3"/>
      <c r="N23" s="3"/>
      <c r="O23" s="3"/>
      <c r="P23" s="3"/>
      <c r="Q23" s="3"/>
      <c r="R23" s="3"/>
      <c r="S23" s="3"/>
      <c r="T23" s="3"/>
      <c r="U23" s="3"/>
    </row>
    <row r="24" spans="1:21" ht="16.899999999999999">
      <c r="A24" s="3"/>
      <c r="B24" s="3"/>
      <c r="C24" s="55" t="s">
        <v>93</v>
      </c>
      <c r="D24" s="28">
        <f>IF(AND($D$21&gt;0,$D$22&gt;0,$D$21&lt;$D$22,NOT($J$5="")),_xlfn.NORM.DIST(D21,$G$5,$J$5,TRUE),"")</f>
        <v>0.53125754064903719</v>
      </c>
      <c r="E24" s="22"/>
      <c r="F24" s="29" t="s">
        <v>29</v>
      </c>
      <c r="G24" s="3"/>
      <c r="H24" s="3"/>
      <c r="I24" s="3"/>
      <c r="J24" s="3"/>
      <c r="K24" s="3"/>
      <c r="L24" s="3"/>
      <c r="M24" s="3"/>
      <c r="N24" s="3"/>
      <c r="O24" s="3"/>
      <c r="P24" s="3"/>
      <c r="Q24" s="3"/>
      <c r="R24" s="3"/>
      <c r="S24" s="3"/>
      <c r="T24" s="3"/>
      <c r="U24" s="3"/>
    </row>
    <row r="25" spans="1:21" ht="16.899999999999999">
      <c r="A25" s="3"/>
      <c r="B25" s="3"/>
      <c r="C25" s="55" t="s">
        <v>94</v>
      </c>
      <c r="D25" s="27">
        <f>IF(AND($D$21&gt;0,$D$22&gt;0,$D$21&lt;$D$22,NOT($J$5="")),1-_xlfn.NORM.DIST(D22,$G$5,$J$5,TRUE),"")</f>
        <v>0.35474206093257654</v>
      </c>
      <c r="E25" s="22"/>
      <c r="F25" s="29" t="s">
        <v>27</v>
      </c>
      <c r="G25" s="3"/>
      <c r="H25" s="3"/>
      <c r="I25" s="3"/>
      <c r="J25" s="3"/>
      <c r="K25" s="3"/>
      <c r="L25" s="3"/>
      <c r="M25" s="3"/>
      <c r="N25" s="3"/>
      <c r="O25" s="3"/>
      <c r="P25" s="3"/>
      <c r="Q25" s="3"/>
      <c r="R25" s="3"/>
      <c r="S25" s="3"/>
      <c r="T25" s="3"/>
      <c r="U25" s="3"/>
    </row>
    <row r="26" spans="1:21">
      <c r="A26" s="3"/>
      <c r="B26" s="3"/>
      <c r="C26" s="17"/>
      <c r="D26" s="17"/>
      <c r="E26" s="2"/>
      <c r="F26" s="2"/>
      <c r="G26" s="3"/>
      <c r="H26" s="3"/>
      <c r="I26" s="3"/>
      <c r="J26" s="3"/>
      <c r="K26" s="3"/>
      <c r="L26" s="3"/>
      <c r="M26" s="3"/>
      <c r="N26" s="3"/>
      <c r="O26" s="3"/>
      <c r="P26" s="3"/>
      <c r="Q26" s="3"/>
      <c r="R26" s="3"/>
      <c r="S26" s="3"/>
      <c r="T26" s="3"/>
      <c r="U26" s="3"/>
    </row>
    <row r="27" spans="1:21">
      <c r="A27" s="2"/>
      <c r="B27" s="3"/>
      <c r="C27" s="3"/>
      <c r="D27" s="3"/>
      <c r="E27" s="2"/>
      <c r="F27" s="2"/>
      <c r="G27" s="3"/>
      <c r="H27" s="2"/>
      <c r="I27" s="2"/>
      <c r="J27" s="3"/>
      <c r="K27" s="3"/>
      <c r="L27" s="3"/>
      <c r="M27" s="3"/>
      <c r="N27" s="3"/>
      <c r="O27" s="3"/>
      <c r="P27" s="3"/>
      <c r="Q27" s="3"/>
      <c r="R27" s="3"/>
      <c r="S27" s="3"/>
      <c r="T27" s="3"/>
      <c r="U27" s="3"/>
    </row>
    <row r="28" spans="1:21">
      <c r="A28" s="2"/>
      <c r="B28" s="7" t="str">
        <f>CONCATENATE("Version ",'Change Log'!$B$3," – © 2022-",YEAR('Change Log'!$A$3),IF('Change Log'!$C$3="William W. Davis",", William W. Davis, MSPM, PMP",CONCATENATE(", original copyright holder is William W. Davis, MSPM, PMP; later modified by ",'Change Log'!$C$3)))</f>
        <v>Version 1.4 – © 2022-2025, William W. Davis, MSPM, PMP</v>
      </c>
      <c r="C28" s="3"/>
      <c r="D28" s="3"/>
      <c r="E28" s="3"/>
      <c r="F28" s="2"/>
      <c r="G28" s="2"/>
      <c r="H28" s="3"/>
      <c r="I28" s="3"/>
      <c r="J28" s="2"/>
      <c r="K28" s="2"/>
      <c r="L28" s="3"/>
      <c r="M28" s="3"/>
      <c r="N28" s="3"/>
      <c r="O28" s="3"/>
      <c r="P28" s="3"/>
      <c r="Q28" s="3"/>
      <c r="R28" s="3"/>
      <c r="S28" s="3"/>
      <c r="T28" s="3"/>
      <c r="U28" s="3"/>
    </row>
    <row r="29" spans="1:21">
      <c r="A29" s="2"/>
      <c r="B29" s="226" t="s">
        <v>49</v>
      </c>
      <c r="C29" s="226"/>
      <c r="D29" s="226"/>
      <c r="E29" s="226"/>
      <c r="F29" s="226"/>
      <c r="G29" s="226"/>
      <c r="H29" s="226"/>
      <c r="I29" s="68"/>
      <c r="J29" s="2"/>
      <c r="K29" s="2"/>
      <c r="L29" s="3"/>
      <c r="M29" s="3"/>
      <c r="N29" s="3"/>
      <c r="O29" s="3"/>
      <c r="P29" s="3"/>
      <c r="Q29" s="3"/>
      <c r="R29" s="3"/>
      <c r="S29" s="3"/>
      <c r="T29" s="3"/>
      <c r="U29" s="3"/>
    </row>
    <row r="30" spans="1:21">
      <c r="A30" s="2"/>
      <c r="B30" s="226" t="s">
        <v>50</v>
      </c>
      <c r="C30" s="226"/>
      <c r="D30" s="226"/>
      <c r="E30" s="226"/>
      <c r="F30" s="226"/>
      <c r="G30" s="226"/>
      <c r="H30" s="226"/>
      <c r="I30" s="68"/>
      <c r="J30" s="2"/>
      <c r="K30" s="2"/>
      <c r="L30" s="3"/>
      <c r="M30" s="3"/>
      <c r="N30" s="3"/>
      <c r="O30" s="3"/>
      <c r="P30" s="3"/>
      <c r="Q30" s="3"/>
      <c r="R30" s="3"/>
      <c r="S30" s="3"/>
      <c r="T30" s="3"/>
      <c r="U30" s="3"/>
    </row>
    <row r="31" spans="1:21">
      <c r="A31" s="2"/>
      <c r="B31" s="226" t="s">
        <v>47</v>
      </c>
      <c r="C31" s="226"/>
      <c r="D31" s="226"/>
      <c r="E31" s="226"/>
      <c r="F31" s="226"/>
      <c r="G31" s="226"/>
      <c r="H31" s="226"/>
      <c r="I31" s="68"/>
      <c r="J31" s="2"/>
      <c r="K31" s="2"/>
      <c r="L31" s="3"/>
      <c r="M31" s="3"/>
      <c r="N31" s="3"/>
      <c r="O31" s="3"/>
      <c r="P31" s="3"/>
      <c r="Q31" s="3"/>
      <c r="R31" s="3"/>
      <c r="S31" s="3"/>
      <c r="T31" s="3"/>
      <c r="U31" s="3"/>
    </row>
    <row r="32" spans="1:21">
      <c r="A32" s="2"/>
      <c r="B32" s="226" t="s">
        <v>91</v>
      </c>
      <c r="C32" s="226"/>
      <c r="D32" s="226"/>
      <c r="E32" s="226"/>
      <c r="F32" s="226"/>
      <c r="G32" s="226"/>
      <c r="H32" s="226"/>
      <c r="I32" s="68"/>
      <c r="J32" s="2"/>
      <c r="K32" s="2"/>
      <c r="L32" s="3"/>
      <c r="M32" s="3"/>
      <c r="N32" s="3"/>
      <c r="O32" s="3"/>
      <c r="P32" s="3"/>
      <c r="Q32" s="3"/>
      <c r="R32" s="3"/>
      <c r="S32" s="3"/>
      <c r="T32" s="3"/>
      <c r="U32" s="3"/>
    </row>
    <row r="33" spans="1:21">
      <c r="A33" s="2"/>
      <c r="B33" s="226" t="s">
        <v>826</v>
      </c>
      <c r="C33" s="226"/>
      <c r="D33" s="226"/>
      <c r="E33" s="226"/>
      <c r="F33" s="226"/>
      <c r="G33" s="226"/>
      <c r="H33" s="226"/>
      <c r="I33" s="68"/>
      <c r="J33" s="2"/>
      <c r="K33" s="2"/>
      <c r="L33" s="3"/>
      <c r="M33" s="3"/>
      <c r="N33" s="3"/>
      <c r="O33" s="3"/>
      <c r="P33" s="3"/>
      <c r="Q33" s="3"/>
      <c r="R33" s="3"/>
      <c r="S33" s="3"/>
      <c r="T33" s="3"/>
      <c r="U33" s="3"/>
    </row>
    <row r="34" spans="1:21">
      <c r="A34" s="2"/>
      <c r="B34" s="72" t="s">
        <v>86</v>
      </c>
      <c r="C34" s="3"/>
      <c r="D34" s="3"/>
      <c r="E34" s="3"/>
      <c r="F34" s="2"/>
      <c r="G34" s="2"/>
      <c r="H34" s="3"/>
      <c r="I34" s="3"/>
      <c r="J34" s="2"/>
      <c r="K34" s="2"/>
      <c r="L34" s="3"/>
      <c r="M34" s="3"/>
      <c r="N34" s="3"/>
      <c r="O34" s="3"/>
      <c r="P34" s="3"/>
      <c r="Q34" s="3"/>
      <c r="R34" s="3"/>
      <c r="S34" s="3"/>
      <c r="T34" s="3"/>
      <c r="U34" s="3"/>
    </row>
    <row r="35" spans="1:21">
      <c r="A35" s="2"/>
      <c r="B35" s="72" t="s">
        <v>46</v>
      </c>
      <c r="C35" s="3"/>
      <c r="D35" s="3"/>
      <c r="E35" s="3"/>
      <c r="F35" s="2"/>
      <c r="G35" s="2"/>
      <c r="H35" s="3"/>
      <c r="I35" s="3"/>
      <c r="J35" s="2"/>
      <c r="K35" s="2"/>
      <c r="L35" s="3"/>
      <c r="M35" s="3"/>
      <c r="N35" s="3"/>
      <c r="O35" s="3"/>
      <c r="P35" s="3"/>
      <c r="Q35" s="3"/>
      <c r="R35" s="3"/>
      <c r="S35" s="3"/>
      <c r="T35" s="3"/>
      <c r="U35" s="3"/>
    </row>
    <row r="36" spans="1:21">
      <c r="A36" s="7"/>
      <c r="B36" s="72" t="s">
        <v>85</v>
      </c>
      <c r="C36" s="3"/>
      <c r="D36" s="3"/>
      <c r="E36" s="2"/>
      <c r="F36" s="2"/>
      <c r="G36" s="3"/>
      <c r="H36" s="2"/>
      <c r="I36" s="2"/>
      <c r="J36" s="3"/>
      <c r="K36" s="3"/>
      <c r="L36" s="3"/>
      <c r="M36" s="3"/>
      <c r="N36" s="3"/>
      <c r="O36" s="3"/>
      <c r="P36" s="3"/>
      <c r="Q36" s="3"/>
      <c r="R36" s="3"/>
      <c r="S36" s="3"/>
      <c r="T36" s="3"/>
      <c r="U36" s="3"/>
    </row>
    <row r="37" spans="1:21">
      <c r="A37" s="7"/>
      <c r="B37" s="72" t="s">
        <v>87</v>
      </c>
      <c r="C37" s="3"/>
      <c r="D37" s="3"/>
      <c r="E37" s="2"/>
      <c r="F37" s="2"/>
      <c r="G37" s="3"/>
      <c r="H37" s="2"/>
      <c r="I37" s="2"/>
      <c r="J37" s="3"/>
      <c r="K37" s="3"/>
      <c r="L37" s="3"/>
      <c r="M37" s="3"/>
      <c r="N37" s="3"/>
      <c r="O37" s="3"/>
      <c r="P37" s="3"/>
      <c r="Q37" s="3"/>
      <c r="R37" s="3"/>
      <c r="S37" s="3"/>
      <c r="T37" s="3"/>
      <c r="U37" s="3"/>
    </row>
    <row r="38" spans="1:21">
      <c r="A38" s="7"/>
      <c r="B38" s="72" t="s">
        <v>608</v>
      </c>
      <c r="C38" s="3"/>
      <c r="D38" s="3"/>
      <c r="E38" s="2"/>
      <c r="F38" s="2"/>
      <c r="G38" s="3"/>
      <c r="H38" s="2"/>
      <c r="I38" s="2"/>
      <c r="J38" s="3"/>
      <c r="K38" s="3"/>
      <c r="L38" s="3"/>
      <c r="M38" s="3"/>
      <c r="N38" s="3"/>
      <c r="O38" s="3"/>
      <c r="P38" s="3"/>
      <c r="Q38" s="3"/>
      <c r="R38" s="3"/>
      <c r="S38" s="3"/>
      <c r="T38" s="3"/>
      <c r="U38" s="3"/>
    </row>
    <row r="39" spans="1:21">
      <c r="A39" s="7"/>
      <c r="B39" s="72" t="s">
        <v>609</v>
      </c>
      <c r="C39" s="3"/>
      <c r="D39" s="3"/>
      <c r="E39" s="2"/>
      <c r="F39" s="2"/>
      <c r="G39" s="3"/>
      <c r="H39" s="2"/>
      <c r="I39" s="2"/>
      <c r="J39" s="3"/>
      <c r="K39" s="3"/>
      <c r="L39" s="3"/>
      <c r="M39" s="3"/>
      <c r="N39" s="3"/>
      <c r="O39" s="3"/>
      <c r="P39" s="3"/>
      <c r="Q39" s="3"/>
      <c r="R39" s="3"/>
      <c r="S39" s="3"/>
      <c r="T39" s="3"/>
      <c r="U39" s="3"/>
    </row>
    <row r="40" spans="1:21">
      <c r="B40" s="72"/>
    </row>
    <row r="41" spans="1:21">
      <c r="B41" s="72" t="s">
        <v>610</v>
      </c>
    </row>
    <row r="42" spans="1:21">
      <c r="B42" s="72" t="s">
        <v>45</v>
      </c>
    </row>
    <row r="43" spans="1:21">
      <c r="B43" s="227" t="s">
        <v>613</v>
      </c>
      <c r="C43" s="227"/>
      <c r="D43" s="227"/>
      <c r="E43" s="227"/>
      <c r="F43" s="227"/>
      <c r="G43" s="227"/>
      <c r="H43" s="227"/>
    </row>
    <row r="52" spans="1:9">
      <c r="A52"/>
      <c r="H52"/>
      <c r="I52"/>
    </row>
    <row r="53" spans="1:9">
      <c r="A53"/>
      <c r="H53"/>
      <c r="I53"/>
    </row>
    <row r="54" spans="1:9">
      <c r="A54"/>
      <c r="H54"/>
      <c r="I54"/>
    </row>
    <row r="55" spans="1:9">
      <c r="A55"/>
      <c r="H55"/>
      <c r="I55"/>
    </row>
    <row r="56" spans="1:9">
      <c r="A56"/>
      <c r="H56"/>
      <c r="I56"/>
    </row>
    <row r="57" spans="1:9">
      <c r="A57"/>
      <c r="H57"/>
      <c r="I57"/>
    </row>
    <row r="58" spans="1:9">
      <c r="A58"/>
      <c r="H58"/>
      <c r="I58"/>
    </row>
    <row r="59" spans="1:9">
      <c r="A59"/>
      <c r="H59"/>
      <c r="I59"/>
    </row>
    <row r="60" spans="1:9">
      <c r="A60"/>
      <c r="H60"/>
      <c r="I60"/>
    </row>
    <row r="61" spans="1:9">
      <c r="A61"/>
      <c r="H61"/>
      <c r="I61"/>
    </row>
    <row r="62" spans="1:9">
      <c r="A62"/>
      <c r="H62"/>
      <c r="I62"/>
    </row>
    <row r="63" spans="1:9">
      <c r="A63"/>
      <c r="H63"/>
      <c r="I63"/>
    </row>
    <row r="64" spans="1:9">
      <c r="A64"/>
      <c r="H64"/>
      <c r="I64"/>
    </row>
    <row r="65" spans="1:9">
      <c r="A65"/>
      <c r="H65"/>
      <c r="I65"/>
    </row>
    <row r="66" spans="1:9">
      <c r="A66"/>
      <c r="H66"/>
      <c r="I66"/>
    </row>
    <row r="67" spans="1:9">
      <c r="A67"/>
      <c r="H67"/>
      <c r="I67"/>
    </row>
    <row r="68" spans="1:9">
      <c r="A68"/>
      <c r="H68"/>
      <c r="I68"/>
    </row>
    <row r="69" spans="1:9">
      <c r="A69"/>
      <c r="H69"/>
      <c r="I69"/>
    </row>
    <row r="70" spans="1:9">
      <c r="A70"/>
      <c r="H70"/>
      <c r="I70"/>
    </row>
    <row r="71" spans="1:9">
      <c r="A71"/>
      <c r="H71"/>
      <c r="I71"/>
    </row>
    <row r="72" spans="1:9">
      <c r="A72"/>
      <c r="H72"/>
      <c r="I72"/>
    </row>
    <row r="73" spans="1:9">
      <c r="A73"/>
      <c r="H73"/>
      <c r="I73"/>
    </row>
    <row r="74" spans="1:9">
      <c r="A74"/>
      <c r="H74"/>
      <c r="I74"/>
    </row>
    <row r="75" spans="1:9">
      <c r="A75"/>
      <c r="H75"/>
      <c r="I75"/>
    </row>
    <row r="76" spans="1:9">
      <c r="A76"/>
      <c r="H76"/>
      <c r="I76"/>
    </row>
    <row r="77" spans="1:9">
      <c r="A77"/>
      <c r="H77"/>
      <c r="I77"/>
    </row>
    <row r="78" spans="1:9">
      <c r="A78"/>
      <c r="H78"/>
      <c r="I78"/>
    </row>
    <row r="79" spans="1:9">
      <c r="A79"/>
      <c r="H79"/>
      <c r="I79"/>
    </row>
    <row r="80" spans="1:9">
      <c r="A80"/>
      <c r="H80"/>
      <c r="I80"/>
    </row>
    <row r="81" spans="1:9">
      <c r="A81"/>
      <c r="H81"/>
      <c r="I81"/>
    </row>
    <row r="82" spans="1:9">
      <c r="A82"/>
      <c r="H82"/>
      <c r="I82"/>
    </row>
    <row r="83" spans="1:9">
      <c r="A83"/>
      <c r="H83"/>
      <c r="I83"/>
    </row>
    <row r="84" spans="1:9">
      <c r="A84"/>
      <c r="H84"/>
      <c r="I84"/>
    </row>
    <row r="85" spans="1:9">
      <c r="A85"/>
      <c r="H85"/>
      <c r="I85"/>
    </row>
    <row r="86" spans="1:9">
      <c r="A86"/>
      <c r="H86"/>
      <c r="I86"/>
    </row>
    <row r="87" spans="1:9">
      <c r="A87"/>
      <c r="H87"/>
      <c r="I87"/>
    </row>
    <row r="88" spans="1:9">
      <c r="A88"/>
      <c r="H88"/>
      <c r="I88"/>
    </row>
    <row r="89" spans="1:9">
      <c r="A89"/>
      <c r="H89"/>
      <c r="I89"/>
    </row>
    <row r="90" spans="1:9">
      <c r="A90"/>
      <c r="H90"/>
      <c r="I90"/>
    </row>
    <row r="91" spans="1:9">
      <c r="A91"/>
      <c r="H91"/>
      <c r="I91"/>
    </row>
    <row r="92" spans="1:9">
      <c r="A92"/>
      <c r="H92"/>
      <c r="I92"/>
    </row>
    <row r="93" spans="1:9">
      <c r="A93"/>
      <c r="H93"/>
      <c r="I93"/>
    </row>
    <row r="94" spans="1:9">
      <c r="A94"/>
      <c r="H94"/>
      <c r="I94"/>
    </row>
    <row r="95" spans="1:9">
      <c r="A95"/>
      <c r="H95"/>
      <c r="I95"/>
    </row>
    <row r="96" spans="1:9">
      <c r="A96"/>
      <c r="H96"/>
      <c r="I96"/>
    </row>
    <row r="97" spans="1:9">
      <c r="A97"/>
      <c r="H97"/>
      <c r="I97"/>
    </row>
    <row r="98" spans="1:9">
      <c r="A98"/>
      <c r="H98"/>
      <c r="I98"/>
    </row>
    <row r="99" spans="1:9">
      <c r="A99"/>
      <c r="H99"/>
      <c r="I99"/>
    </row>
    <row r="100" spans="1:9">
      <c r="A100"/>
      <c r="H100"/>
      <c r="I100"/>
    </row>
    <row r="101" spans="1:9">
      <c r="A101"/>
      <c r="H101"/>
      <c r="I101"/>
    </row>
    <row r="102" spans="1:9">
      <c r="A102"/>
      <c r="H102"/>
      <c r="I102"/>
    </row>
    <row r="103" spans="1:9">
      <c r="A103"/>
      <c r="H103"/>
      <c r="I103"/>
    </row>
    <row r="104" spans="1:9">
      <c r="A104"/>
      <c r="H104"/>
      <c r="I104"/>
    </row>
    <row r="105" spans="1:9">
      <c r="A105"/>
      <c r="H105"/>
      <c r="I105"/>
    </row>
    <row r="106" spans="1:9">
      <c r="A106"/>
      <c r="H106"/>
      <c r="I106"/>
    </row>
    <row r="107" spans="1:9">
      <c r="A107"/>
      <c r="H107"/>
      <c r="I107"/>
    </row>
    <row r="108" spans="1:9">
      <c r="A108"/>
      <c r="H108"/>
      <c r="I108"/>
    </row>
    <row r="109" spans="1:9">
      <c r="A109"/>
      <c r="H109"/>
      <c r="I109"/>
    </row>
    <row r="110" spans="1:9">
      <c r="A110"/>
      <c r="H110"/>
      <c r="I110"/>
    </row>
    <row r="111" spans="1:9">
      <c r="A111"/>
      <c r="H111"/>
      <c r="I111"/>
    </row>
    <row r="112" spans="1:9">
      <c r="A112"/>
      <c r="H112"/>
      <c r="I112"/>
    </row>
    <row r="113" spans="1:9">
      <c r="A113"/>
      <c r="H113"/>
      <c r="I113"/>
    </row>
    <row r="114" spans="1:9">
      <c r="A114"/>
      <c r="H114"/>
      <c r="I114"/>
    </row>
    <row r="115" spans="1:9">
      <c r="A115"/>
      <c r="H115"/>
      <c r="I115"/>
    </row>
    <row r="116" spans="1:9">
      <c r="A116"/>
      <c r="H116"/>
      <c r="I116"/>
    </row>
    <row r="117" spans="1:9">
      <c r="A117"/>
      <c r="H117"/>
      <c r="I117"/>
    </row>
    <row r="118" spans="1:9">
      <c r="A118"/>
      <c r="H118"/>
      <c r="I118"/>
    </row>
    <row r="119" spans="1:9">
      <c r="A119"/>
      <c r="H119"/>
      <c r="I119"/>
    </row>
    <row r="120" spans="1:9">
      <c r="A120"/>
      <c r="H120"/>
      <c r="I120"/>
    </row>
    <row r="121" spans="1:9">
      <c r="A121"/>
      <c r="H121"/>
      <c r="I121"/>
    </row>
    <row r="122" spans="1:9">
      <c r="A122"/>
      <c r="H122"/>
      <c r="I122"/>
    </row>
    <row r="123" spans="1:9">
      <c r="A123"/>
      <c r="H123"/>
      <c r="I123"/>
    </row>
    <row r="124" spans="1:9">
      <c r="A124"/>
      <c r="H124"/>
      <c r="I124"/>
    </row>
    <row r="125" spans="1:9">
      <c r="A125"/>
      <c r="H125"/>
      <c r="I125"/>
    </row>
    <row r="126" spans="1:9">
      <c r="A126"/>
      <c r="H126"/>
      <c r="I126"/>
    </row>
    <row r="127" spans="1:9">
      <c r="A127"/>
      <c r="H127"/>
      <c r="I127"/>
    </row>
    <row r="128" spans="1:9">
      <c r="A128"/>
      <c r="H128"/>
      <c r="I128"/>
    </row>
    <row r="129" spans="1:9">
      <c r="A129"/>
      <c r="H129"/>
      <c r="I129"/>
    </row>
    <row r="130" spans="1:9">
      <c r="A130"/>
      <c r="H130"/>
      <c r="I130"/>
    </row>
    <row r="131" spans="1:9">
      <c r="A131"/>
      <c r="H131"/>
      <c r="I131"/>
    </row>
    <row r="132" spans="1:9">
      <c r="A132"/>
      <c r="H132"/>
      <c r="I132"/>
    </row>
    <row r="133" spans="1:9">
      <c r="A133"/>
      <c r="H133"/>
      <c r="I133"/>
    </row>
    <row r="134" spans="1:9">
      <c r="A134"/>
      <c r="H134"/>
      <c r="I134"/>
    </row>
    <row r="135" spans="1:9">
      <c r="A135"/>
      <c r="H135"/>
      <c r="I135"/>
    </row>
    <row r="136" spans="1:9">
      <c r="A136"/>
      <c r="H136"/>
      <c r="I136"/>
    </row>
    <row r="137" spans="1:9">
      <c r="A137"/>
      <c r="H137"/>
      <c r="I137"/>
    </row>
    <row r="138" spans="1:9">
      <c r="A138"/>
      <c r="H138"/>
      <c r="I138"/>
    </row>
    <row r="139" spans="1:9">
      <c r="A139"/>
      <c r="H139"/>
      <c r="I139"/>
    </row>
    <row r="140" spans="1:9">
      <c r="A140"/>
      <c r="H140"/>
      <c r="I140"/>
    </row>
    <row r="141" spans="1:9">
      <c r="A141"/>
      <c r="H141"/>
      <c r="I141"/>
    </row>
    <row r="142" spans="1:9">
      <c r="A142"/>
      <c r="H142"/>
      <c r="I142"/>
    </row>
    <row r="143" spans="1:9">
      <c r="A143"/>
      <c r="H143"/>
      <c r="I143"/>
    </row>
    <row r="144" spans="1:9">
      <c r="A144"/>
      <c r="H144"/>
      <c r="I144"/>
    </row>
    <row r="145" spans="1:9">
      <c r="A145"/>
      <c r="H145"/>
      <c r="I145"/>
    </row>
    <row r="146" spans="1:9">
      <c r="A146"/>
      <c r="H146"/>
      <c r="I146"/>
    </row>
    <row r="147" spans="1:9">
      <c r="A147"/>
      <c r="H147"/>
      <c r="I147"/>
    </row>
    <row r="148" spans="1:9">
      <c r="A148"/>
      <c r="H148"/>
      <c r="I148"/>
    </row>
    <row r="149" spans="1:9">
      <c r="A149"/>
      <c r="H149"/>
      <c r="I149"/>
    </row>
    <row r="150" spans="1:9">
      <c r="A150"/>
      <c r="H150"/>
      <c r="I150"/>
    </row>
    <row r="151" spans="1:9">
      <c r="A151"/>
      <c r="H151"/>
      <c r="I151"/>
    </row>
    <row r="152" spans="1:9">
      <c r="A152"/>
      <c r="H152"/>
      <c r="I152"/>
    </row>
    <row r="153" spans="1:9">
      <c r="A153"/>
      <c r="H153"/>
      <c r="I153"/>
    </row>
    <row r="154" spans="1:9">
      <c r="A154"/>
      <c r="H154"/>
      <c r="I154"/>
    </row>
    <row r="155" spans="1:9">
      <c r="A155"/>
      <c r="H155"/>
      <c r="I155"/>
    </row>
    <row r="156" spans="1:9">
      <c r="A156"/>
      <c r="H156"/>
      <c r="I156"/>
    </row>
    <row r="157" spans="1:9">
      <c r="A157"/>
      <c r="H157"/>
      <c r="I157"/>
    </row>
    <row r="158" spans="1:9">
      <c r="A158"/>
      <c r="H158"/>
      <c r="I158"/>
    </row>
    <row r="159" spans="1:9">
      <c r="A159"/>
      <c r="H159"/>
      <c r="I159"/>
    </row>
    <row r="160" spans="1:9">
      <c r="A160"/>
      <c r="H160"/>
      <c r="I160"/>
    </row>
    <row r="161" spans="1:9">
      <c r="A161"/>
      <c r="H161"/>
      <c r="I161"/>
    </row>
    <row r="162" spans="1:9">
      <c r="A162"/>
      <c r="H162"/>
      <c r="I162"/>
    </row>
    <row r="163" spans="1:9">
      <c r="A163"/>
      <c r="H163"/>
      <c r="I163"/>
    </row>
    <row r="164" spans="1:9">
      <c r="A164"/>
      <c r="H164"/>
      <c r="I164"/>
    </row>
    <row r="165" spans="1:9">
      <c r="A165"/>
      <c r="H165"/>
      <c r="I165"/>
    </row>
    <row r="166" spans="1:9">
      <c r="A166"/>
      <c r="H166"/>
      <c r="I166"/>
    </row>
    <row r="167" spans="1:9">
      <c r="A167"/>
      <c r="H167"/>
      <c r="I167"/>
    </row>
    <row r="168" spans="1:9">
      <c r="A168"/>
      <c r="H168"/>
      <c r="I168"/>
    </row>
    <row r="169" spans="1:9">
      <c r="A169"/>
      <c r="H169"/>
      <c r="I169"/>
    </row>
    <row r="170" spans="1:9">
      <c r="A170"/>
      <c r="H170"/>
      <c r="I170"/>
    </row>
    <row r="171" spans="1:9">
      <c r="A171"/>
      <c r="H171"/>
      <c r="I171"/>
    </row>
    <row r="172" spans="1:9">
      <c r="A172"/>
      <c r="H172"/>
      <c r="I172"/>
    </row>
    <row r="173" spans="1:9">
      <c r="A173"/>
      <c r="H173"/>
      <c r="I173"/>
    </row>
    <row r="174" spans="1:9">
      <c r="A174"/>
      <c r="H174"/>
      <c r="I174"/>
    </row>
    <row r="175" spans="1:9">
      <c r="A175"/>
      <c r="H175"/>
      <c r="I175"/>
    </row>
    <row r="176" spans="1:9">
      <c r="A176"/>
      <c r="H176"/>
      <c r="I176"/>
    </row>
    <row r="177" spans="1:9">
      <c r="A177"/>
      <c r="H177"/>
      <c r="I177"/>
    </row>
    <row r="178" spans="1:9">
      <c r="A178"/>
      <c r="H178"/>
      <c r="I178"/>
    </row>
    <row r="179" spans="1:9">
      <c r="A179"/>
      <c r="H179"/>
      <c r="I179"/>
    </row>
    <row r="180" spans="1:9">
      <c r="A180"/>
      <c r="H180"/>
      <c r="I180"/>
    </row>
    <row r="181" spans="1:9">
      <c r="A181"/>
      <c r="H181"/>
      <c r="I181"/>
    </row>
    <row r="182" spans="1:9">
      <c r="A182"/>
      <c r="H182"/>
      <c r="I182"/>
    </row>
    <row r="183" spans="1:9">
      <c r="A183"/>
      <c r="H183"/>
      <c r="I183"/>
    </row>
    <row r="184" spans="1:9">
      <c r="A184"/>
      <c r="H184"/>
      <c r="I184"/>
    </row>
    <row r="185" spans="1:9">
      <c r="A185"/>
      <c r="H185"/>
      <c r="I185"/>
    </row>
    <row r="186" spans="1:9">
      <c r="A186"/>
      <c r="H186"/>
      <c r="I186"/>
    </row>
    <row r="187" spans="1:9">
      <c r="A187"/>
      <c r="H187"/>
      <c r="I187"/>
    </row>
    <row r="188" spans="1:9">
      <c r="A188"/>
      <c r="H188"/>
      <c r="I188"/>
    </row>
    <row r="189" spans="1:9">
      <c r="A189"/>
      <c r="H189"/>
      <c r="I189"/>
    </row>
    <row r="190" spans="1:9">
      <c r="A190"/>
      <c r="H190"/>
      <c r="I190"/>
    </row>
    <row r="191" spans="1:9">
      <c r="A191"/>
      <c r="H191"/>
      <c r="I191"/>
    </row>
    <row r="192" spans="1:9">
      <c r="A192"/>
      <c r="H192"/>
      <c r="I192"/>
    </row>
    <row r="193" spans="1:9">
      <c r="A193"/>
      <c r="H193"/>
      <c r="I193"/>
    </row>
    <row r="194" spans="1:9">
      <c r="A194"/>
      <c r="H194"/>
      <c r="I194"/>
    </row>
    <row r="195" spans="1:9">
      <c r="A195"/>
      <c r="H195"/>
      <c r="I195"/>
    </row>
    <row r="196" spans="1:9">
      <c r="A196"/>
      <c r="H196"/>
      <c r="I196"/>
    </row>
    <row r="197" spans="1:9">
      <c r="A197"/>
      <c r="H197"/>
      <c r="I197"/>
    </row>
    <row r="198" spans="1:9">
      <c r="A198"/>
      <c r="H198"/>
      <c r="I198"/>
    </row>
    <row r="199" spans="1:9">
      <c r="A199"/>
      <c r="H199"/>
      <c r="I199"/>
    </row>
    <row r="200" spans="1:9">
      <c r="A200"/>
      <c r="H200"/>
      <c r="I200"/>
    </row>
    <row r="201" spans="1:9">
      <c r="A201"/>
      <c r="H201"/>
      <c r="I201"/>
    </row>
    <row r="202" spans="1:9">
      <c r="A202"/>
      <c r="H202"/>
      <c r="I202"/>
    </row>
    <row r="203" spans="1:9">
      <c r="A203"/>
      <c r="H203"/>
      <c r="I203"/>
    </row>
    <row r="204" spans="1:9">
      <c r="A204"/>
      <c r="H204"/>
      <c r="I204"/>
    </row>
    <row r="205" spans="1:9">
      <c r="A205"/>
      <c r="H205"/>
      <c r="I205"/>
    </row>
    <row r="206" spans="1:9">
      <c r="A206"/>
      <c r="H206"/>
      <c r="I206"/>
    </row>
    <row r="209" spans="1:9">
      <c r="A209"/>
      <c r="H209"/>
      <c r="I209"/>
    </row>
    <row r="210" spans="1:9">
      <c r="A210"/>
      <c r="H210"/>
      <c r="I210"/>
    </row>
    <row r="211" spans="1:9">
      <c r="A211"/>
      <c r="H211"/>
      <c r="I211"/>
    </row>
    <row r="212" spans="1:9">
      <c r="A212"/>
      <c r="H212"/>
      <c r="I212"/>
    </row>
    <row r="213" spans="1:9">
      <c r="A213"/>
      <c r="H213"/>
      <c r="I213"/>
    </row>
    <row r="214" spans="1:9">
      <c r="A214"/>
      <c r="H214"/>
      <c r="I214"/>
    </row>
    <row r="215" spans="1:9">
      <c r="A215"/>
      <c r="H215"/>
      <c r="I215"/>
    </row>
    <row r="216" spans="1:9">
      <c r="A216"/>
      <c r="H216"/>
      <c r="I216"/>
    </row>
    <row r="217" spans="1:9">
      <c r="A217"/>
      <c r="H217"/>
      <c r="I217"/>
    </row>
    <row r="218" spans="1:9">
      <c r="A218"/>
      <c r="H218"/>
      <c r="I218"/>
    </row>
    <row r="219" spans="1:9">
      <c r="A219"/>
      <c r="H219"/>
      <c r="I219"/>
    </row>
    <row r="220" spans="1:9">
      <c r="A220"/>
      <c r="H220"/>
      <c r="I220"/>
    </row>
    <row r="221" spans="1:9">
      <c r="A221"/>
      <c r="H221"/>
      <c r="I221"/>
    </row>
    <row r="222" spans="1:9">
      <c r="A222"/>
      <c r="H222"/>
      <c r="I222"/>
    </row>
    <row r="223" spans="1:9">
      <c r="A223"/>
      <c r="H223"/>
      <c r="I223"/>
    </row>
    <row r="224" spans="1:9">
      <c r="A224"/>
      <c r="H224"/>
      <c r="I224"/>
    </row>
  </sheetData>
  <mergeCells count="10">
    <mergeCell ref="B31:H31"/>
    <mergeCell ref="B32:H32"/>
    <mergeCell ref="B33:H33"/>
    <mergeCell ref="B43:H43"/>
    <mergeCell ref="M2:M3"/>
    <mergeCell ref="N2:N3"/>
    <mergeCell ref="O2:T2"/>
    <mergeCell ref="B7:D7"/>
    <mergeCell ref="B29:H29"/>
    <mergeCell ref="B30:H30"/>
  </mergeCells>
  <conditionalFormatting sqref="E4">
    <cfRule type="iconSet" priority="19">
      <iconSet iconSet="3Symbols2" showValue="0">
        <cfvo type="percent" val="0"/>
        <cfvo type="percent" val="0.5"/>
        <cfvo type="num" val="1"/>
      </iconSet>
    </cfRule>
  </conditionalFormatting>
  <conditionalFormatting sqref="F4">
    <cfRule type="iconSet" priority="20">
      <iconSet showValue="0">
        <cfvo type="percent" val="0"/>
        <cfvo type="num" val="0.2"/>
        <cfvo type="num" val="0.3332"/>
      </iconSet>
    </cfRule>
  </conditionalFormatting>
  <conditionalFormatting sqref="O7:T7">
    <cfRule type="colorScale" priority="2">
      <colorScale>
        <cfvo type="min"/>
        <cfvo type="max"/>
        <color theme="9" tint="0.79998168889431442"/>
        <color theme="9"/>
      </colorScale>
    </cfRule>
  </conditionalFormatting>
  <dataValidations count="1">
    <dataValidation type="decimal" allowBlank="1" showInputMessage="1" showErrorMessage="1" sqref="O3:T3" xr:uid="{BEA9F55C-87D0-4DD2-B9C5-43A408EE00CC}">
      <formula1>0.0001</formula1>
      <formula2>0.9999</formula2>
    </dataValidation>
  </dataValidations>
  <hyperlinks>
    <hyperlink ref="B29" r:id="rId1" display="Download more FREE Statistical PERT templates at https://www.statisticalpert.com" xr:uid="{91EBA940-CB6D-4FCD-B5EE-01309F5F389E}"/>
    <hyperlink ref="B30" r:id="rId2" display="Take a Pluralsight course on Statistical PERT" xr:uid="{21B734E3-69AC-4CEF-BF4E-24E8DFD89253}"/>
    <hyperlink ref="B31" r:id="rId3" xr:uid="{08C0F897-778B-462C-8FF0-002B1C275E35}"/>
    <hyperlink ref="B33" r:id="rId4" display="Follow Statistical PERT on Twitter to learn when new updates are released" xr:uid="{29BE7622-8CF1-4238-B1AC-B0E8A9810847}"/>
    <hyperlink ref="B31:H31" r:id="rId5" display="Watch Statistical PERT videos on YouTube " xr:uid="{935CB8AE-5090-471B-A96C-DDB045AC023A}"/>
    <hyperlink ref="B32:H32" r:id="rId6" display="Connect with or follow me on LinkedIn" xr:uid="{63330A1B-03EF-45E3-972F-4E59AC462EC3}"/>
    <hyperlink ref="B30:H30" r:id="rId7" display="Watch a Pluralsight course on Statistical PERT® Normal Edition" xr:uid="{1DD0E3E3-8AA1-4FAF-B300-1632ED01EB81}"/>
    <hyperlink ref="B43" r:id="rId8" display="See the GNU General Public License for more details (http://www.gnu.org/licenses/)." xr:uid="{430A8EE5-BD2F-46DE-AE3A-F92B64BE3C9B}"/>
    <hyperlink ref="B33:H33" r:id="rId9" location="newsletter" display="Subscribe to the SPERT® newsletter for monthly tips, free webinars, and new release notifications" xr:uid="{4A8C5F94-6BA4-4135-80E4-39A5B31A7D1E}"/>
  </hyperlinks>
  <pageMargins left="0.7" right="0.7" top="0.75" bottom="0.75" header="0.3" footer="0.3"/>
  <drawing r:id="rId10"/>
  <legacyDrawing r:id="rId11"/>
  <extLst>
    <ext xmlns:x14="http://schemas.microsoft.com/office/spreadsheetml/2009/9/main" uri="{78C0D931-6437-407d-A8EE-F0AAD7539E65}">
      <x14:conditionalFormattings>
        <x14:conditionalFormatting xmlns:xm="http://schemas.microsoft.com/office/excel/2006/main">
          <x14:cfRule type="expression" priority="1" id="{0C9DCEE2-B06B-48F8-9D71-88D9C65CFFCF}">
            <xm:f>IF($B$7=VLookups!$A$22,TRUE,FALSE)</xm:f>
            <x14:dxf>
              <numFmt numFmtId="9" formatCode="&quot;$&quot;#,##0_);\(&quot;$&quot;#,##0\)"/>
            </x14:dxf>
          </x14:cfRule>
          <xm:sqref>B4:T5</xm:sqref>
        </x14:conditionalFormatting>
        <x14:conditionalFormatting xmlns:xm="http://schemas.microsoft.com/office/excel/2006/main">
          <x14:cfRule type="expression" priority="4" id="{E101D6BF-5FCD-48AB-A2F1-D07D2EC57325}">
            <xm:f>IF($B$7=VLookups!$A$22,TRUE,FALSE)</xm:f>
            <x14:dxf>
              <numFmt numFmtId="9" formatCode="&quot;$&quot;#,##0_);\(&quot;$&quot;#,##0\)"/>
            </x14:dxf>
          </x14:cfRule>
          <xm:sqref>D17:D18</xm:sqref>
        </x14:conditionalFormatting>
        <x14:conditionalFormatting xmlns:xm="http://schemas.microsoft.com/office/excel/2006/main">
          <x14:cfRule type="expression" priority="3" id="{37349764-B015-4631-A718-96C4A3576290}">
            <xm:f>IF($B$7=VLookups!$A$22,TRUE,FALSE)</xm:f>
            <x14:dxf>
              <numFmt numFmtId="9" formatCode="&quot;$&quot;#,##0_);\(&quot;$&quot;#,##0\)"/>
            </x14:dxf>
          </x14:cfRule>
          <xm:sqref>D21:D22</xm:sqref>
        </x14:conditionalFormatting>
        <x14:conditionalFormatting xmlns:xm="http://schemas.microsoft.com/office/excel/2006/main">
          <x14:cfRule type="expression" priority="16" id="{65F469B6-41D1-465A-9816-35259789E1C1}">
            <xm:f>IF($B$7=VLookups!$A$22,TRUE,FALSE)</xm:f>
            <x14:dxf>
              <numFmt numFmtId="9" formatCode="&quot;$&quot;#,##0_);\(&quot;$&quot;#,##0\)"/>
            </x14:dxf>
          </x14:cfRule>
          <xm:sqref>J5:K5</xm:sqref>
        </x14:conditionalFormatting>
        <x14:conditionalFormatting xmlns:xm="http://schemas.microsoft.com/office/excel/2006/main">
          <x14:cfRule type="expression" priority="18" id="{A4E7842D-DB41-4F7F-ADD6-E05C030E9430}">
            <xm:f>IF($B$7=VLookups!$A$22,TRUE,FALSE)</xm:f>
            <x14:dxf>
              <numFmt numFmtId="9" formatCode="&quot;$&quot;#,##0_);\(&quot;$&quot;#,##0\)"/>
            </x14:dxf>
          </x14:cfRule>
          <xm:sqref>K4</xm:sqref>
        </x14:conditionalFormatting>
        <x14:conditionalFormatting xmlns:xm="http://schemas.microsoft.com/office/excel/2006/main">
          <x14:cfRule type="expression" priority="11" id="{334F7E5F-1446-4A08-9B34-F33782767311}">
            <xm:f>IF($B$7=VLookups!$A$22,TRUE,FALSE)</xm:f>
            <x14:dxf>
              <numFmt numFmtId="9" formatCode="&quot;$&quot;#,##0_);\(&quot;$&quot;#,##0\)"/>
            </x14:dxf>
          </x14:cfRule>
          <xm:sqref>M7</xm:sqref>
        </x14:conditionalFormatting>
        <x14:conditionalFormatting xmlns:xm="http://schemas.microsoft.com/office/excel/2006/main">
          <x14:cfRule type="expression" priority="5" id="{62F7490E-30E6-4F5D-877E-11D15D7C445B}">
            <xm:f>IF($B$7=VLookups!$A$22,TRUE,FALSE)</xm:f>
            <x14:dxf>
              <numFmt numFmtId="9" formatCode="&quot;$&quot;#,##0_);\(&quot;$&quot;#,##0\)"/>
            </x14:dxf>
          </x14:cfRule>
          <xm:sqref>O7:T7</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BEDB1C93-016A-4102-90A7-2DA9D208245C}">
          <x14:formula1>
            <xm:f>VLookups!$A$27:$A$33</xm:f>
          </x14:formula1>
          <xm:sqref>G10</xm:sqref>
        </x14:dataValidation>
        <x14:dataValidation type="list" allowBlank="1" showInputMessage="1" showErrorMessage="1" xr:uid="{198EBA00-B17C-4AFC-B845-DB86D274708A}">
          <x14:formula1>
            <xm:f>VLookups!$A$4:$A$13</xm:f>
          </x14:formula1>
          <xm:sqref>I5 H4:H5</xm:sqref>
        </x14:dataValidation>
        <x14:dataValidation type="list" allowBlank="1" showInputMessage="1" showErrorMessage="1" xr:uid="{7F38414D-A3F4-4017-9D9A-C9652FE30C66}">
          <x14:formula1>
            <xm:f>VLookups!$A$17:$A$18</xm:f>
          </x14:formula1>
          <xm:sqref>M1</xm:sqref>
        </x14:dataValidation>
        <x14:dataValidation type="list" allowBlank="1" showInputMessage="1" showErrorMessage="1" xr:uid="{40D5B3EC-208E-41F4-A46E-1C02B066C106}">
          <x14:formula1>
            <xm:f>VLookups!$A$22:$A$23</xm:f>
          </x14:formula1>
          <xm:sqref>B7:D7</xm:sqref>
        </x14:dataValidation>
      </x14:dataValidations>
    </ext>
    <ext xmlns:x14="http://schemas.microsoft.com/office/spreadsheetml/2009/9/main" uri="{05C60535-1F16-4fd2-B633-F4F36F0B64E0}">
      <x14:sparklineGroups xmlns:xm="http://schemas.microsoft.com/office/excel/2006/main">
        <x14:sparklineGroup displayEmptyCellsAs="gap" displayHidden="1" xr2:uid="{B9B79586-9CF9-45F5-9658-D30F89E49089}">
          <x14:colorSeries theme="1"/>
          <x14:colorNegative rgb="FFD00000"/>
          <x14:colorAxis rgb="FF000000"/>
          <x14:colorMarkers rgb="FFD00000"/>
          <x14:colorFirst rgb="FFD00000"/>
          <x14:colorLast rgb="FFD00000"/>
          <x14:colorHigh rgb="FFD00000"/>
          <x14:colorLow rgb="FFD00000"/>
          <x14:sparklines>
            <x14:sparkline>
              <xm:f>'SPERT® 1976-2025'!HP4:PH4</xm:f>
              <xm:sqref>I4</xm:sqref>
            </x14:sparkline>
          </x14:sparklines>
        </x14:sparklineGroup>
      </x14:sparklineGroup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8CBD5-F135-4F4F-9FEE-73CB2DB465E7}">
  <dimension ref="A1:PI224"/>
  <sheetViews>
    <sheetView showGridLines="0" zoomScaleNormal="100" workbookViewId="0">
      <selection activeCell="B9" sqref="B9"/>
    </sheetView>
  </sheetViews>
  <sheetFormatPr defaultRowHeight="14.25"/>
  <cols>
    <col min="1" max="1" width="14.6640625" style="1" customWidth="1"/>
    <col min="2" max="4" width="14.6640625" customWidth="1"/>
    <col min="5" max="6" width="4.73046875" style="1" customWidth="1"/>
    <col min="7" max="7" width="11.06640625" customWidth="1"/>
    <col min="8" max="8" width="24.19921875" style="1" customWidth="1"/>
    <col min="9" max="9" width="7.73046875" style="1" customWidth="1"/>
    <col min="10" max="11" width="11.73046875" customWidth="1"/>
    <col min="12" max="12" width="13.53125" hidden="1" customWidth="1"/>
    <col min="13" max="13" width="18.9296875" customWidth="1"/>
    <col min="14" max="14" width="10.73046875" customWidth="1"/>
    <col min="15" max="20" width="13.73046875" customWidth="1"/>
    <col min="22" max="223" width="9.1328125" customWidth="1"/>
    <col min="224" max="424" width="8.73046875" customWidth="1"/>
  </cols>
  <sheetData>
    <row r="1" spans="1:425" ht="24" customHeight="1">
      <c r="A1" s="36" t="s">
        <v>843</v>
      </c>
      <c r="C1" s="3"/>
      <c r="D1" s="3"/>
      <c r="E1" s="2"/>
      <c r="F1" s="2"/>
      <c r="G1" s="3"/>
      <c r="H1" s="2"/>
      <c r="I1" s="2"/>
      <c r="J1" s="3"/>
      <c r="K1" s="3"/>
      <c r="L1" s="3"/>
      <c r="M1" s="81" t="s">
        <v>35</v>
      </c>
      <c r="P1" s="181"/>
      <c r="Q1" s="181" t="str">
        <f>VLOOKUP($M$1,VLookups!$A$17:$C$18,3,FALSE)</f>
        <v>Show the likelihood that the SPERT estimates will be EQUAL TO or GREATER THAN an uncertainty</v>
      </c>
      <c r="S1" s="181"/>
      <c r="T1" s="181"/>
      <c r="U1" s="3"/>
    </row>
    <row r="2" spans="1:425" ht="15" customHeight="1">
      <c r="B2" s="9"/>
      <c r="C2" s="9"/>
      <c r="D2" s="9"/>
      <c r="E2" s="10"/>
      <c r="F2" s="10"/>
      <c r="G2" s="9"/>
      <c r="H2" s="10"/>
      <c r="I2" s="10"/>
      <c r="J2" s="3"/>
      <c r="K2" s="3"/>
      <c r="L2" s="3"/>
      <c r="M2" s="228" t="s">
        <v>32</v>
      </c>
      <c r="N2" s="228" t="s">
        <v>33</v>
      </c>
      <c r="O2" s="230" t="s">
        <v>24</v>
      </c>
      <c r="P2" s="231"/>
      <c r="Q2" s="231"/>
      <c r="R2" s="231"/>
      <c r="S2" s="231"/>
      <c r="T2" s="232"/>
      <c r="U2" s="3"/>
      <c r="V2" s="75" t="s">
        <v>55</v>
      </c>
    </row>
    <row r="3" spans="1:425">
      <c r="A3" s="39" t="s">
        <v>638</v>
      </c>
      <c r="B3" s="39" t="s">
        <v>18</v>
      </c>
      <c r="C3" s="39" t="s">
        <v>5</v>
      </c>
      <c r="D3" s="39" t="s">
        <v>19</v>
      </c>
      <c r="E3" s="39"/>
      <c r="F3" s="39"/>
      <c r="G3" s="39" t="s">
        <v>31</v>
      </c>
      <c r="H3" s="39" t="s">
        <v>6</v>
      </c>
      <c r="I3" s="39" t="s">
        <v>52</v>
      </c>
      <c r="J3" s="39" t="s">
        <v>618</v>
      </c>
      <c r="K3" s="39" t="s">
        <v>30</v>
      </c>
      <c r="L3" s="39" t="s">
        <v>41</v>
      </c>
      <c r="M3" s="229"/>
      <c r="N3" s="229"/>
      <c r="O3" s="66">
        <v>0.1</v>
      </c>
      <c r="P3" s="35">
        <v>0.9</v>
      </c>
      <c r="Q3" s="35">
        <v>0.85</v>
      </c>
      <c r="R3" s="35">
        <v>0.8</v>
      </c>
      <c r="S3" s="35">
        <v>0.75</v>
      </c>
      <c r="T3" s="35">
        <v>0.7</v>
      </c>
      <c r="U3" s="3"/>
      <c r="V3" s="75" t="s">
        <v>56</v>
      </c>
      <c r="HP3" s="75" t="s">
        <v>53</v>
      </c>
      <c r="PI3" s="78" t="s">
        <v>635</v>
      </c>
    </row>
    <row r="4" spans="1:425">
      <c r="A4" s="148" t="s">
        <v>842</v>
      </c>
      <c r="B4" s="149">
        <v>66</v>
      </c>
      <c r="C4" s="149">
        <v>89.1</v>
      </c>
      <c r="D4" s="149">
        <v>110</v>
      </c>
      <c r="E4" s="19">
        <f>IF(OR(ISBLANK(C4),ISBLANK(D4),ISBLANK(B4)),"",IF(AND(B4&gt;0,C4&gt;0,D4&gt;0),IF(C4&gt;B4,IF(D4&gt;C4,1,-1),-1)))</f>
        <v>1</v>
      </c>
      <c r="F4" s="19">
        <f>IF(OR(ISBLANK(B4),ISBLANK(C4),ISBLANK(D4)),"",IFERROR(MIN(C4-B4,D4-C4)/MAX(C4-B4,D4-C4),""))</f>
        <v>0.90476190476190521</v>
      </c>
      <c r="G4" s="53">
        <f>IF(AND(B4&gt;0,C4&gt;0,D4&gt;0),(B4+(4*C4)+D4)/6,"")</f>
        <v>88.733333333333334</v>
      </c>
      <c r="H4" s="150" t="s">
        <v>3</v>
      </c>
      <c r="I4" s="39"/>
      <c r="J4" s="151">
        <v>6.7</v>
      </c>
      <c r="K4" s="183">
        <f>IF(AND(B4&gt;0,C4&gt;0,D4&gt;0),IF(ISBLANK(J4),IF(ISBLANK(H4),"",(D4-B4)*VLOOKUP(H4,VLookups!$A$4:$B$13,2,FALSE)),J4),"")</f>
        <v>6.7</v>
      </c>
      <c r="L4" s="152">
        <f>IF(K4="","",K4^2)</f>
        <v>44.89</v>
      </c>
      <c r="M4" s="64"/>
      <c r="N4" s="153" t="str">
        <f>IF(AND(M4&gt;0,C4&gt;0,NOT(K4="")),ABS(VLOOKUP($M$1,VLookups!$A$17:$B$18,2,FALSE)-_xlfn.NORM.DIST(M4,G4,K4,TRUE)),"")</f>
        <v/>
      </c>
      <c r="O4" s="154">
        <f>IF(AND($B4&gt;0,$C4&gt;0,$D4&gt;0,NOT(ISBLANK($H4))),_xlfn.NORM.INV(ABS(VLOOKUP($M$1,VLookups!$A$17:$B$18,2,FALSE)-O$3),$G4,$K4),"")</f>
        <v>80.146937844184507</v>
      </c>
      <c r="P4" s="155">
        <f>IF(AND($B4&gt;0,$C4&gt;0,$D4&gt;0,NOT(ISBLANK($H4))),_xlfn.NORM.INV(ABS(VLOOKUP($M$1,VLookups!$A$17:$B$18,2,FALSE)-P$3),$G4,$K4),"")</f>
        <v>97.319728822482162</v>
      </c>
      <c r="Q4" s="154">
        <f>IF(AND($B4&gt;0,$C4&gt;0,$D4&gt;0,NOT(ISBLANK($H4))),_xlfn.NORM.INV(ABS(VLOOKUP($M$1,VLookups!$A$17:$B$18,2,FALSE)-Q$3),$G4,$K4),"")</f>
        <v>95.677437042941733</v>
      </c>
      <c r="R4" s="155">
        <f>IF(AND($B4&gt;0,$C4&gt;0,$D4&gt;0,NOT(ISBLANK($H4))),_xlfn.NORM.INV(ABS(VLOOKUP($M$1,VLookups!$A$17:$B$18,2,FALSE)-R$3),$G4,$K4),"")</f>
        <v>94.372195598271858</v>
      </c>
      <c r="S4" s="154">
        <f>IF(AND($B4&gt;0,$C4&gt;0,$D4&gt;0,NOT(ISBLANK($H4))),_xlfn.NORM.INV(ABS(VLOOKUP($M$1,VLookups!$A$17:$B$18,2,FALSE)-S$3),$G4,$K4),"")</f>
        <v>93.252414659647087</v>
      </c>
      <c r="T4" s="155">
        <f>IF(AND($B4&gt;0,$C4&gt;0,$D4&gt;0,NOT(ISBLANK($H4))),_xlfn.NORM.INV(ABS(VLOOKUP($M$1,VLookups!$A$17:$B$18,2,FALSE)-T$3),$G4,$K4),"")</f>
        <v>92.246816768477203</v>
      </c>
      <c r="U4" s="3"/>
      <c r="V4" s="76">
        <f>IF(AND(B4&gt;0,C4&gt;0,D4&gt;0),ABS(B4-D4)/(G10*140),"")</f>
        <v>0.25142857142857145</v>
      </c>
      <c r="W4" s="33">
        <f t="shared" ref="W4:CH4" si="0">IF(ISNONTEXT($V4),X4-$V4,"")</f>
        <v>63.957142857142379</v>
      </c>
      <c r="X4" s="33">
        <f t="shared" si="0"/>
        <v>64.208571428570949</v>
      </c>
      <c r="Y4" s="33">
        <f t="shared" si="0"/>
        <v>64.459999999999525</v>
      </c>
      <c r="Z4" s="33">
        <f t="shared" si="0"/>
        <v>64.711428571428101</v>
      </c>
      <c r="AA4" s="33">
        <f t="shared" si="0"/>
        <v>64.962857142856677</v>
      </c>
      <c r="AB4" s="33">
        <f t="shared" si="0"/>
        <v>65.214285714285253</v>
      </c>
      <c r="AC4" s="33">
        <f t="shared" si="0"/>
        <v>65.46571428571383</v>
      </c>
      <c r="AD4" s="33">
        <f t="shared" si="0"/>
        <v>65.717142857142406</v>
      </c>
      <c r="AE4" s="33">
        <f t="shared" si="0"/>
        <v>65.968571428570982</v>
      </c>
      <c r="AF4" s="33">
        <f t="shared" si="0"/>
        <v>66.219999999999558</v>
      </c>
      <c r="AG4" s="33">
        <f t="shared" si="0"/>
        <v>66.471428571428135</v>
      </c>
      <c r="AH4" s="33">
        <f t="shared" si="0"/>
        <v>66.722857142856711</v>
      </c>
      <c r="AI4" s="33">
        <f t="shared" si="0"/>
        <v>66.974285714285287</v>
      </c>
      <c r="AJ4" s="33">
        <f t="shared" si="0"/>
        <v>67.225714285713863</v>
      </c>
      <c r="AK4" s="33">
        <f t="shared" si="0"/>
        <v>67.477142857142439</v>
      </c>
      <c r="AL4" s="33">
        <f t="shared" si="0"/>
        <v>67.728571428571016</v>
      </c>
      <c r="AM4" s="33">
        <f t="shared" si="0"/>
        <v>67.979999999999592</v>
      </c>
      <c r="AN4" s="33">
        <f t="shared" si="0"/>
        <v>68.231428571428168</v>
      </c>
      <c r="AO4" s="33">
        <f t="shared" si="0"/>
        <v>68.482857142856744</v>
      </c>
      <c r="AP4" s="33">
        <f t="shared" si="0"/>
        <v>68.734285714285321</v>
      </c>
      <c r="AQ4" s="33">
        <f t="shared" si="0"/>
        <v>68.985714285713897</v>
      </c>
      <c r="AR4" s="33">
        <f t="shared" si="0"/>
        <v>69.237142857142473</v>
      </c>
      <c r="AS4" s="33">
        <f t="shared" si="0"/>
        <v>69.488571428571049</v>
      </c>
      <c r="AT4" s="33">
        <f t="shared" si="0"/>
        <v>69.739999999999625</v>
      </c>
      <c r="AU4" s="33">
        <f t="shared" si="0"/>
        <v>69.991428571428202</v>
      </c>
      <c r="AV4" s="33">
        <f t="shared" si="0"/>
        <v>70.242857142856778</v>
      </c>
      <c r="AW4" s="33">
        <f t="shared" si="0"/>
        <v>70.494285714285354</v>
      </c>
      <c r="AX4" s="33">
        <f t="shared" si="0"/>
        <v>70.74571428571393</v>
      </c>
      <c r="AY4" s="33">
        <f t="shared" si="0"/>
        <v>70.997142857142507</v>
      </c>
      <c r="AZ4" s="33">
        <f t="shared" si="0"/>
        <v>71.248571428571083</v>
      </c>
      <c r="BA4" s="33">
        <f t="shared" si="0"/>
        <v>71.499999999999659</v>
      </c>
      <c r="BB4" s="33">
        <f t="shared" si="0"/>
        <v>71.751428571428235</v>
      </c>
      <c r="BC4" s="33">
        <f t="shared" si="0"/>
        <v>72.002857142856811</v>
      </c>
      <c r="BD4" s="33">
        <f t="shared" si="0"/>
        <v>72.254285714285388</v>
      </c>
      <c r="BE4" s="33">
        <f t="shared" si="0"/>
        <v>72.505714285713964</v>
      </c>
      <c r="BF4" s="33">
        <f t="shared" si="0"/>
        <v>72.75714285714254</v>
      </c>
      <c r="BG4" s="33">
        <f t="shared" si="0"/>
        <v>73.008571428571116</v>
      </c>
      <c r="BH4" s="33">
        <f t="shared" si="0"/>
        <v>73.259999999999692</v>
      </c>
      <c r="BI4" s="33">
        <f t="shared" si="0"/>
        <v>73.511428571428269</v>
      </c>
      <c r="BJ4" s="33">
        <f t="shared" si="0"/>
        <v>73.762857142856845</v>
      </c>
      <c r="BK4" s="33">
        <f t="shared" si="0"/>
        <v>74.014285714285421</v>
      </c>
      <c r="BL4" s="33">
        <f t="shared" si="0"/>
        <v>74.265714285713997</v>
      </c>
      <c r="BM4" s="33">
        <f t="shared" si="0"/>
        <v>74.517142857142574</v>
      </c>
      <c r="BN4" s="33">
        <f t="shared" si="0"/>
        <v>74.76857142857115</v>
      </c>
      <c r="BO4" s="33">
        <f t="shared" si="0"/>
        <v>75.019999999999726</v>
      </c>
      <c r="BP4" s="33">
        <f t="shared" si="0"/>
        <v>75.271428571428302</v>
      </c>
      <c r="BQ4" s="33">
        <f t="shared" si="0"/>
        <v>75.522857142856878</v>
      </c>
      <c r="BR4" s="33">
        <f t="shared" si="0"/>
        <v>75.774285714285455</v>
      </c>
      <c r="BS4" s="33">
        <f t="shared" si="0"/>
        <v>76.025714285714031</v>
      </c>
      <c r="BT4" s="33">
        <f t="shared" si="0"/>
        <v>76.277142857142607</v>
      </c>
      <c r="BU4" s="33">
        <f t="shared" si="0"/>
        <v>76.528571428571183</v>
      </c>
      <c r="BV4" s="33">
        <f t="shared" si="0"/>
        <v>76.77999999999976</v>
      </c>
      <c r="BW4" s="33">
        <f t="shared" si="0"/>
        <v>77.031428571428336</v>
      </c>
      <c r="BX4" s="33">
        <f t="shared" si="0"/>
        <v>77.282857142856912</v>
      </c>
      <c r="BY4" s="33">
        <f t="shared" si="0"/>
        <v>77.534285714285488</v>
      </c>
      <c r="BZ4" s="33">
        <f t="shared" si="0"/>
        <v>77.785714285714064</v>
      </c>
      <c r="CA4" s="33">
        <f t="shared" si="0"/>
        <v>78.037142857142641</v>
      </c>
      <c r="CB4" s="33">
        <f t="shared" si="0"/>
        <v>78.288571428571217</v>
      </c>
      <c r="CC4" s="33">
        <f t="shared" si="0"/>
        <v>78.539999999999793</v>
      </c>
      <c r="CD4" s="33">
        <f t="shared" si="0"/>
        <v>78.791428571428369</v>
      </c>
      <c r="CE4" s="33">
        <f t="shared" si="0"/>
        <v>79.042857142856946</v>
      </c>
      <c r="CF4" s="33">
        <f t="shared" si="0"/>
        <v>79.294285714285522</v>
      </c>
      <c r="CG4" s="33">
        <f t="shared" si="0"/>
        <v>79.545714285714098</v>
      </c>
      <c r="CH4" s="33">
        <f t="shared" si="0"/>
        <v>79.797142857142674</v>
      </c>
      <c r="CI4" s="33">
        <f t="shared" ref="CI4:DQ4" si="1">IF(ISNONTEXT($V4),CJ4-$V4,"")</f>
        <v>80.04857142857125</v>
      </c>
      <c r="CJ4" s="33">
        <f t="shared" si="1"/>
        <v>80.299999999999827</v>
      </c>
      <c r="CK4" s="33">
        <f t="shared" si="1"/>
        <v>80.551428571428403</v>
      </c>
      <c r="CL4" s="33">
        <f t="shared" si="1"/>
        <v>80.802857142856979</v>
      </c>
      <c r="CM4" s="33">
        <f t="shared" si="1"/>
        <v>81.054285714285555</v>
      </c>
      <c r="CN4" s="33">
        <f t="shared" si="1"/>
        <v>81.305714285714132</v>
      </c>
      <c r="CO4" s="33">
        <f t="shared" si="1"/>
        <v>81.557142857142708</v>
      </c>
      <c r="CP4" s="33">
        <f t="shared" si="1"/>
        <v>81.808571428571284</v>
      </c>
      <c r="CQ4" s="33">
        <f t="shared" si="1"/>
        <v>82.05999999999986</v>
      </c>
      <c r="CR4" s="33">
        <f t="shared" si="1"/>
        <v>82.311428571428436</v>
      </c>
      <c r="CS4" s="33">
        <f t="shared" si="1"/>
        <v>82.562857142857013</v>
      </c>
      <c r="CT4" s="33">
        <f t="shared" si="1"/>
        <v>82.814285714285589</v>
      </c>
      <c r="CU4" s="33">
        <f t="shared" si="1"/>
        <v>83.065714285714165</v>
      </c>
      <c r="CV4" s="33">
        <f t="shared" si="1"/>
        <v>83.317142857142741</v>
      </c>
      <c r="CW4" s="33">
        <f t="shared" si="1"/>
        <v>83.568571428571317</v>
      </c>
      <c r="CX4" s="33">
        <f t="shared" si="1"/>
        <v>83.819999999999894</v>
      </c>
      <c r="CY4" s="33">
        <f t="shared" si="1"/>
        <v>84.07142857142847</v>
      </c>
      <c r="CZ4" s="33">
        <f t="shared" si="1"/>
        <v>84.322857142857046</v>
      </c>
      <c r="DA4" s="33">
        <f t="shared" si="1"/>
        <v>84.574285714285622</v>
      </c>
      <c r="DB4" s="33">
        <f t="shared" si="1"/>
        <v>84.825714285714199</v>
      </c>
      <c r="DC4" s="33">
        <f t="shared" si="1"/>
        <v>85.077142857142775</v>
      </c>
      <c r="DD4" s="33">
        <f t="shared" si="1"/>
        <v>85.328571428571351</v>
      </c>
      <c r="DE4" s="33">
        <f t="shared" si="1"/>
        <v>85.579999999999927</v>
      </c>
      <c r="DF4" s="33">
        <f t="shared" si="1"/>
        <v>85.831428571428503</v>
      </c>
      <c r="DG4" s="33">
        <f t="shared" si="1"/>
        <v>86.08285714285708</v>
      </c>
      <c r="DH4" s="33">
        <f t="shared" si="1"/>
        <v>86.334285714285656</v>
      </c>
      <c r="DI4" s="33">
        <f t="shared" si="1"/>
        <v>86.585714285714232</v>
      </c>
      <c r="DJ4" s="33">
        <f t="shared" si="1"/>
        <v>86.837142857142808</v>
      </c>
      <c r="DK4" s="33">
        <f t="shared" si="1"/>
        <v>87.088571428571385</v>
      </c>
      <c r="DL4" s="33">
        <f t="shared" si="1"/>
        <v>87.339999999999961</v>
      </c>
      <c r="DM4" s="33">
        <f t="shared" si="1"/>
        <v>87.591428571428537</v>
      </c>
      <c r="DN4" s="33">
        <f t="shared" si="1"/>
        <v>87.842857142857113</v>
      </c>
      <c r="DO4" s="33">
        <f t="shared" si="1"/>
        <v>88.094285714285689</v>
      </c>
      <c r="DP4" s="33">
        <f t="shared" si="1"/>
        <v>88.345714285714266</v>
      </c>
      <c r="DQ4" s="33">
        <f t="shared" si="1"/>
        <v>88.597142857142842</v>
      </c>
      <c r="DR4" s="33">
        <f>IF(ISNONTEXT($V4),DS4-$V4,"")</f>
        <v>88.848571428571418</v>
      </c>
      <c r="DS4" s="80">
        <f>IF(ISNONTEXT($V4),$C$4,"")</f>
        <v>89.1</v>
      </c>
      <c r="DT4" s="33">
        <f t="shared" ref="DT4:GE4" si="2">IF(ISNONTEXT($V4),DS4+$V4,"")</f>
        <v>89.351428571428571</v>
      </c>
      <c r="DU4" s="33">
        <f t="shared" si="2"/>
        <v>89.602857142857147</v>
      </c>
      <c r="DV4" s="33">
        <f t="shared" si="2"/>
        <v>89.854285714285723</v>
      </c>
      <c r="DW4" s="33">
        <f t="shared" si="2"/>
        <v>90.105714285714299</v>
      </c>
      <c r="DX4" s="33">
        <f t="shared" si="2"/>
        <v>90.357142857142875</v>
      </c>
      <c r="DY4" s="33">
        <f t="shared" si="2"/>
        <v>90.608571428571452</v>
      </c>
      <c r="DZ4" s="33">
        <f t="shared" si="2"/>
        <v>90.860000000000028</v>
      </c>
      <c r="EA4" s="33">
        <f t="shared" si="2"/>
        <v>91.111428571428604</v>
      </c>
      <c r="EB4" s="33">
        <f t="shared" si="2"/>
        <v>91.36285714285718</v>
      </c>
      <c r="EC4" s="33">
        <f t="shared" si="2"/>
        <v>91.614285714285757</v>
      </c>
      <c r="ED4" s="33">
        <f t="shared" si="2"/>
        <v>91.865714285714333</v>
      </c>
      <c r="EE4" s="33">
        <f t="shared" si="2"/>
        <v>92.117142857142909</v>
      </c>
      <c r="EF4" s="33">
        <f t="shared" si="2"/>
        <v>92.368571428571485</v>
      </c>
      <c r="EG4" s="33">
        <f t="shared" si="2"/>
        <v>92.620000000000061</v>
      </c>
      <c r="EH4" s="33">
        <f t="shared" si="2"/>
        <v>92.871428571428638</v>
      </c>
      <c r="EI4" s="33">
        <f t="shared" si="2"/>
        <v>93.122857142857214</v>
      </c>
      <c r="EJ4" s="33">
        <f t="shared" si="2"/>
        <v>93.37428571428579</v>
      </c>
      <c r="EK4" s="33">
        <f t="shared" si="2"/>
        <v>93.625714285714366</v>
      </c>
      <c r="EL4" s="33">
        <f t="shared" si="2"/>
        <v>93.877142857142942</v>
      </c>
      <c r="EM4" s="33">
        <f t="shared" si="2"/>
        <v>94.128571428571519</v>
      </c>
      <c r="EN4" s="33">
        <f t="shared" si="2"/>
        <v>94.380000000000095</v>
      </c>
      <c r="EO4" s="33">
        <f t="shared" si="2"/>
        <v>94.631428571428671</v>
      </c>
      <c r="EP4" s="33">
        <f t="shared" si="2"/>
        <v>94.882857142857247</v>
      </c>
      <c r="EQ4" s="33">
        <f t="shared" si="2"/>
        <v>95.134285714285824</v>
      </c>
      <c r="ER4" s="33">
        <f t="shared" si="2"/>
        <v>95.3857142857144</v>
      </c>
      <c r="ES4" s="33">
        <f t="shared" si="2"/>
        <v>95.637142857142976</v>
      </c>
      <c r="ET4" s="33">
        <f t="shared" si="2"/>
        <v>95.888571428571552</v>
      </c>
      <c r="EU4" s="33">
        <f t="shared" si="2"/>
        <v>96.140000000000128</v>
      </c>
      <c r="EV4" s="33">
        <f t="shared" si="2"/>
        <v>96.391428571428705</v>
      </c>
      <c r="EW4" s="33">
        <f t="shared" si="2"/>
        <v>96.642857142857281</v>
      </c>
      <c r="EX4" s="33">
        <f t="shared" si="2"/>
        <v>96.894285714285857</v>
      </c>
      <c r="EY4" s="33">
        <f t="shared" si="2"/>
        <v>97.145714285714433</v>
      </c>
      <c r="EZ4" s="33">
        <f t="shared" si="2"/>
        <v>97.39714285714301</v>
      </c>
      <c r="FA4" s="33">
        <f t="shared" si="2"/>
        <v>97.648571428571586</v>
      </c>
      <c r="FB4" s="33">
        <f t="shared" si="2"/>
        <v>97.900000000000162</v>
      </c>
      <c r="FC4" s="33">
        <f t="shared" si="2"/>
        <v>98.151428571428738</v>
      </c>
      <c r="FD4" s="33">
        <f t="shared" si="2"/>
        <v>98.402857142857314</v>
      </c>
      <c r="FE4" s="33">
        <f t="shared" si="2"/>
        <v>98.654285714285891</v>
      </c>
      <c r="FF4" s="33">
        <f t="shared" si="2"/>
        <v>98.905714285714467</v>
      </c>
      <c r="FG4" s="33">
        <f t="shared" si="2"/>
        <v>99.157142857143043</v>
      </c>
      <c r="FH4" s="33">
        <f t="shared" si="2"/>
        <v>99.408571428571619</v>
      </c>
      <c r="FI4" s="33">
        <f t="shared" si="2"/>
        <v>99.660000000000196</v>
      </c>
      <c r="FJ4" s="33">
        <f t="shared" si="2"/>
        <v>99.911428571428772</v>
      </c>
      <c r="FK4" s="33">
        <f t="shared" si="2"/>
        <v>100.16285714285735</v>
      </c>
      <c r="FL4" s="33">
        <f t="shared" si="2"/>
        <v>100.41428571428592</v>
      </c>
      <c r="FM4" s="33">
        <f t="shared" si="2"/>
        <v>100.6657142857145</v>
      </c>
      <c r="FN4" s="33">
        <f t="shared" si="2"/>
        <v>100.91714285714308</v>
      </c>
      <c r="FO4" s="33">
        <f t="shared" si="2"/>
        <v>101.16857142857165</v>
      </c>
      <c r="FP4" s="33">
        <f t="shared" si="2"/>
        <v>101.42000000000023</v>
      </c>
      <c r="FQ4" s="33">
        <f t="shared" si="2"/>
        <v>101.67142857142881</v>
      </c>
      <c r="FR4" s="33">
        <f t="shared" si="2"/>
        <v>101.92285714285738</v>
      </c>
      <c r="FS4" s="33">
        <f t="shared" si="2"/>
        <v>102.17428571428596</v>
      </c>
      <c r="FT4" s="33">
        <f t="shared" si="2"/>
        <v>102.42571428571453</v>
      </c>
      <c r="FU4" s="33">
        <f t="shared" si="2"/>
        <v>102.67714285714311</v>
      </c>
      <c r="FV4" s="33">
        <f t="shared" si="2"/>
        <v>102.92857142857169</v>
      </c>
      <c r="FW4" s="33">
        <f t="shared" si="2"/>
        <v>103.18000000000026</v>
      </c>
      <c r="FX4" s="33">
        <f t="shared" si="2"/>
        <v>103.43142857142884</v>
      </c>
      <c r="FY4" s="33">
        <f t="shared" si="2"/>
        <v>103.68285714285742</v>
      </c>
      <c r="FZ4" s="33">
        <f t="shared" si="2"/>
        <v>103.93428571428599</v>
      </c>
      <c r="GA4" s="33">
        <f t="shared" si="2"/>
        <v>104.18571428571457</v>
      </c>
      <c r="GB4" s="33">
        <f t="shared" si="2"/>
        <v>104.43714285714314</v>
      </c>
      <c r="GC4" s="33">
        <f t="shared" si="2"/>
        <v>104.68857142857172</v>
      </c>
      <c r="GD4" s="33">
        <f t="shared" si="2"/>
        <v>104.9400000000003</v>
      </c>
      <c r="GE4" s="33">
        <f t="shared" si="2"/>
        <v>105.19142857142887</v>
      </c>
      <c r="GF4" s="33">
        <f t="shared" ref="GF4:HO4" si="3">IF(ISNONTEXT($V4),GE4+$V4,"")</f>
        <v>105.44285714285745</v>
      </c>
      <c r="GG4" s="33">
        <f t="shared" si="3"/>
        <v>105.69428571428602</v>
      </c>
      <c r="GH4" s="33">
        <f t="shared" si="3"/>
        <v>105.9457142857146</v>
      </c>
      <c r="GI4" s="33">
        <f t="shared" si="3"/>
        <v>106.19714285714318</v>
      </c>
      <c r="GJ4" s="33">
        <f t="shared" si="3"/>
        <v>106.44857142857175</v>
      </c>
      <c r="GK4" s="33">
        <f t="shared" si="3"/>
        <v>106.70000000000033</v>
      </c>
      <c r="GL4" s="33">
        <f t="shared" si="3"/>
        <v>106.95142857142891</v>
      </c>
      <c r="GM4" s="33">
        <f t="shared" si="3"/>
        <v>107.20285714285748</v>
      </c>
      <c r="GN4" s="33">
        <f t="shared" si="3"/>
        <v>107.45428571428606</v>
      </c>
      <c r="GO4" s="33">
        <f t="shared" si="3"/>
        <v>107.70571428571463</v>
      </c>
      <c r="GP4" s="33">
        <f t="shared" si="3"/>
        <v>107.95714285714321</v>
      </c>
      <c r="GQ4" s="33">
        <f t="shared" si="3"/>
        <v>108.20857142857179</v>
      </c>
      <c r="GR4" s="33">
        <f t="shared" si="3"/>
        <v>108.46000000000036</v>
      </c>
      <c r="GS4" s="33">
        <f t="shared" si="3"/>
        <v>108.71142857142894</v>
      </c>
      <c r="GT4" s="33">
        <f t="shared" si="3"/>
        <v>108.96285714285752</v>
      </c>
      <c r="GU4" s="33">
        <f t="shared" si="3"/>
        <v>109.21428571428609</v>
      </c>
      <c r="GV4" s="33">
        <f t="shared" si="3"/>
        <v>109.46571428571467</v>
      </c>
      <c r="GW4" s="33">
        <f t="shared" si="3"/>
        <v>109.71714285714324</v>
      </c>
      <c r="GX4" s="33">
        <f t="shared" si="3"/>
        <v>109.96857142857182</v>
      </c>
      <c r="GY4" s="33">
        <f t="shared" si="3"/>
        <v>110.2200000000004</v>
      </c>
      <c r="GZ4" s="33">
        <f t="shared" si="3"/>
        <v>110.47142857142897</v>
      </c>
      <c r="HA4" s="33">
        <f t="shared" si="3"/>
        <v>110.72285714285755</v>
      </c>
      <c r="HB4" s="33">
        <f t="shared" si="3"/>
        <v>110.97428571428613</v>
      </c>
      <c r="HC4" s="33">
        <f t="shared" si="3"/>
        <v>111.2257142857147</v>
      </c>
      <c r="HD4" s="33">
        <f t="shared" si="3"/>
        <v>111.47714285714328</v>
      </c>
      <c r="HE4" s="33">
        <f t="shared" si="3"/>
        <v>111.72857142857185</v>
      </c>
      <c r="HF4" s="33">
        <f t="shared" si="3"/>
        <v>111.98000000000043</v>
      </c>
      <c r="HG4" s="33">
        <f t="shared" si="3"/>
        <v>112.23142857142901</v>
      </c>
      <c r="HH4" s="33">
        <f t="shared" si="3"/>
        <v>112.48285714285758</v>
      </c>
      <c r="HI4" s="33">
        <f t="shared" si="3"/>
        <v>112.73428571428616</v>
      </c>
      <c r="HJ4" s="33">
        <f t="shared" si="3"/>
        <v>112.98571428571474</v>
      </c>
      <c r="HK4" s="33">
        <f t="shared" si="3"/>
        <v>113.23714285714331</v>
      </c>
      <c r="HL4" s="33">
        <f t="shared" si="3"/>
        <v>113.48857142857189</v>
      </c>
      <c r="HM4" s="33">
        <f t="shared" si="3"/>
        <v>113.74000000000046</v>
      </c>
      <c r="HN4" s="33">
        <f t="shared" si="3"/>
        <v>113.99142857142904</v>
      </c>
      <c r="HO4" s="33">
        <f t="shared" si="3"/>
        <v>114.24285714285762</v>
      </c>
      <c r="HP4" s="77">
        <f t="shared" ref="HP4:KA4" si="4">IF(ISNONTEXT($K4),_xlfn.NORM.DIST(W4,$G4,$K4,FALSE),NA())</f>
        <v>6.3885251524990522E-5</v>
      </c>
      <c r="HQ4" s="77">
        <f t="shared" si="4"/>
        <v>7.3343631061639596E-5</v>
      </c>
      <c r="HR4" s="77">
        <f t="shared" si="4"/>
        <v>8.4083854095758868E-5</v>
      </c>
      <c r="HS4" s="77">
        <f t="shared" si="4"/>
        <v>9.6261188144214474E-5</v>
      </c>
      <c r="HT4" s="77">
        <f t="shared" si="4"/>
        <v>1.1004700581927765E-4</v>
      </c>
      <c r="HU4" s="77">
        <f t="shared" si="4"/>
        <v>1.2563008351342315E-4</v>
      </c>
      <c r="HV4" s="77">
        <f t="shared" si="4"/>
        <v>1.4321795600431974E-4</v>
      </c>
      <c r="HW4" s="77">
        <f t="shared" si="4"/>
        <v>1.6303832275466965E-4</v>
      </c>
      <c r="HX4" s="77">
        <f t="shared" si="4"/>
        <v>1.8534050053627964E-4</v>
      </c>
      <c r="HY4" s="77">
        <f t="shared" si="4"/>
        <v>2.1039691576500783E-4</v>
      </c>
      <c r="HZ4" s="77">
        <f t="shared" si="4"/>
        <v>2.3850462859613874E-4</v>
      </c>
      <c r="IA4" s="77">
        <f t="shared" si="4"/>
        <v>2.6998687940322461E-4</v>
      </c>
      <c r="IB4" s="77">
        <f t="shared" si="4"/>
        <v>3.0519464675445306E-4</v>
      </c>
      <c r="IC4" s="77">
        <f t="shared" si="4"/>
        <v>3.4450820441831294E-4</v>
      </c>
      <c r="ID4" s="77">
        <f t="shared" si="4"/>
        <v>3.88338663286234E-4</v>
      </c>
      <c r="IE4" s="77">
        <f t="shared" si="4"/>
        <v>4.371294824078646E-4</v>
      </c>
      <c r="IF4" s="77">
        <f t="shared" si="4"/>
        <v>4.9135793161127856E-4</v>
      </c>
      <c r="IG4" s="77">
        <f t="shared" si="4"/>
        <v>5.5153648644473631E-4</v>
      </c>
      <c r="IH4" s="77">
        <f t="shared" si="4"/>
        <v>6.1821413445043881E-4</v>
      </c>
      <c r="II4" s="77">
        <f t="shared" si="4"/>
        <v>6.9197757008838511E-4</v>
      </c>
      <c r="IJ4" s="77">
        <f t="shared" si="4"/>
        <v>7.7345225399689957E-4</v>
      </c>
      <c r="IK4" s="77">
        <f t="shared" si="4"/>
        <v>8.6330331073498641E-4</v>
      </c>
      <c r="IL4" s="77">
        <f t="shared" si="4"/>
        <v>9.622362377320504E-4</v>
      </c>
      <c r="IM4" s="77">
        <f t="shared" si="4"/>
        <v>1.0709973969062574E-3</v>
      </c>
      <c r="IN4" s="77">
        <f t="shared" si="4"/>
        <v>1.1903742593392197E-3</v>
      </c>
      <c r="IO4" s="77">
        <f t="shared" si="4"/>
        <v>1.3211953725484815E-3</v>
      </c>
      <c r="IP4" s="77">
        <f t="shared" si="4"/>
        <v>1.4643300193178264E-3</v>
      </c>
      <c r="IQ4" s="77">
        <f t="shared" si="4"/>
        <v>1.6206875367667285E-3</v>
      </c>
      <c r="IR4" s="77">
        <f t="shared" si="4"/>
        <v>1.7912162644019276E-3</v>
      </c>
      <c r="IS4" s="77">
        <f t="shared" si="4"/>
        <v>1.9769020903328519E-3</v>
      </c>
      <c r="IT4" s="77">
        <f t="shared" si="4"/>
        <v>2.1787665656839489E-3</v>
      </c>
      <c r="IU4" s="77">
        <f t="shared" si="4"/>
        <v>2.3978645585335146E-3</v>
      </c>
      <c r="IV4" s="77">
        <f t="shared" si="4"/>
        <v>2.6352814204806617E-3</v>
      </c>
      <c r="IW4" s="77">
        <f t="shared" si="4"/>
        <v>2.8921296412153024E-3</v>
      </c>
      <c r="IX4" s="77">
        <f t="shared" si="4"/>
        <v>3.169544969262042E-3</v>
      </c>
      <c r="IY4" s="77">
        <f t="shared" si="4"/>
        <v>3.4686819804032568E-3</v>
      </c>
      <c r="IZ4" s="77">
        <f t="shared" si="4"/>
        <v>3.7907090791690226E-3</v>
      </c>
      <c r="JA4" s="77">
        <f t="shared" si="4"/>
        <v>4.1368029232139629E-3</v>
      </c>
      <c r="JB4" s="77">
        <f t="shared" si="4"/>
        <v>4.5081422653783215E-3</v>
      </c>
      <c r="JC4" s="77">
        <f t="shared" si="4"/>
        <v>4.9059012137380922E-3</v>
      </c>
      <c r="JD4" s="77">
        <f t="shared" si="4"/>
        <v>5.3312419159639007E-3</v>
      </c>
      <c r="JE4" s="77">
        <f t="shared" si="4"/>
        <v>5.7853066807975317E-3</v>
      </c>
      <c r="JF4" s="77">
        <f t="shared" si="4"/>
        <v>6.2692095563757896E-3</v>
      </c>
      <c r="JG4" s="77">
        <f t="shared" si="4"/>
        <v>6.7840273924306338E-3</v>
      </c>
      <c r="JH4" s="77">
        <f t="shared" si="4"/>
        <v>7.3307904210092451E-3</v>
      </c>
      <c r="JI4" s="77">
        <f t="shared" si="4"/>
        <v>7.9104723982144423E-3</v>
      </c>
      <c r="JJ4" s="77">
        <f t="shared" si="4"/>
        <v>8.5239803574813349E-3</v>
      </c>
      <c r="JK4" s="77">
        <f t="shared" si="4"/>
        <v>9.1721440329887334E-3</v>
      </c>
      <c r="JL4" s="77">
        <f t="shared" si="4"/>
        <v>9.8557050198515728E-3</v>
      </c>
      <c r="JM4" s="77">
        <f t="shared" si="4"/>
        <v>1.0575305745646003E-2</v>
      </c>
      <c r="JN4" s="77">
        <f t="shared" si="4"/>
        <v>1.1331478335466204E-2</v>
      </c>
      <c r="JO4" s="77">
        <f t="shared" si="4"/>
        <v>1.2124633459981538E-2</v>
      </c>
      <c r="JP4" s="77">
        <f t="shared" si="4"/>
        <v>1.2955049262730325E-2</v>
      </c>
      <c r="JQ4" s="77">
        <f t="shared" si="4"/>
        <v>1.3822860469027217E-2</v>
      </c>
      <c r="JR4" s="77">
        <f t="shared" si="4"/>
        <v>1.4728047784248181E-2</v>
      </c>
      <c r="JS4" s="77">
        <f t="shared" si="4"/>
        <v>1.5670427693767901E-2</v>
      </c>
      <c r="JT4" s="77">
        <f t="shared" si="4"/>
        <v>1.6649642780338252E-2</v>
      </c>
      <c r="JU4" s="77">
        <f t="shared" si="4"/>
        <v>1.7665152677101052E-2</v>
      </c>
      <c r="JV4" s="77">
        <f t="shared" si="4"/>
        <v>1.8716225775617632E-2</v>
      </c>
      <c r="JW4" s="77">
        <f t="shared" si="4"/>
        <v>1.9801931808179029E-2</v>
      </c>
      <c r="JX4" s="77">
        <f t="shared" si="4"/>
        <v>2.0921135422151405E-2</v>
      </c>
      <c r="JY4" s="77">
        <f t="shared" si="4"/>
        <v>2.207249086114697E-2</v>
      </c>
      <c r="JZ4" s="77">
        <f t="shared" si="4"/>
        <v>2.3254437863340686E-2</v>
      </c>
      <c r="KA4" s="77">
        <f t="shared" si="4"/>
        <v>2.4465198881248679E-2</v>
      </c>
      <c r="KB4" s="77">
        <f t="shared" ref="KB4:MM4" si="5">IF(ISNONTEXT($K4),_xlfn.NORM.DIST(CI4,$G4,$K4,FALSE),NA())</f>
        <v>2.5702777719734834E-2</v>
      </c>
      <c r="KC4" s="77">
        <f t="shared" si="5"/>
        <v>2.6964959679929915E-2</v>
      </c>
      <c r="KD4" s="77">
        <f t="shared" si="5"/>
        <v>2.8249313286167758E-2</v>
      </c>
      <c r="KE4" s="77">
        <f t="shared" si="5"/>
        <v>2.9553193661023304E-2</v>
      </c>
      <c r="KF4" s="77">
        <f t="shared" si="5"/>
        <v>3.0873747600160196E-2</v>
      </c>
      <c r="KG4" s="77">
        <f t="shared" si="5"/>
        <v>3.2207920384066925E-2</v>
      </c>
      <c r="KH4" s="77">
        <f t="shared" si="5"/>
        <v>3.3552464348008362E-2</v>
      </c>
      <c r="KI4" s="77">
        <f t="shared" si="5"/>
        <v>3.490394921479642E-2</v>
      </c>
      <c r="KJ4" s="77">
        <f t="shared" si="5"/>
        <v>3.6258774177460616E-2</v>
      </c>
      <c r="KK4" s="77">
        <f t="shared" si="5"/>
        <v>3.7613181700768245E-2</v>
      </c>
      <c r="KL4" s="77">
        <f t="shared" si="5"/>
        <v>3.8963272992013263E-2</v>
      </c>
      <c r="KM4" s="77">
        <f t="shared" si="5"/>
        <v>4.0305025072784668E-2</v>
      </c>
      <c r="KN4" s="77">
        <f t="shared" si="5"/>
        <v>4.163430936477501E-2</v>
      </c>
      <c r="KO4" s="77">
        <f t="shared" si="5"/>
        <v>4.2946911684337861E-2</v>
      </c>
      <c r="KP4" s="77">
        <f t="shared" si="5"/>
        <v>4.4238553522699169E-2</v>
      </c>
      <c r="KQ4" s="77">
        <f t="shared" si="5"/>
        <v>4.5504914471718449E-2</v>
      </c>
      <c r="KR4" s="77">
        <f t="shared" si="5"/>
        <v>4.6741655639126772E-2</v>
      </c>
      <c r="KS4" s="77">
        <f t="shared" si="5"/>
        <v>4.7944443882480085E-2</v>
      </c>
      <c r="KT4" s="77">
        <f t="shared" si="5"/>
        <v>4.9108976677884025E-2</v>
      </c>
      <c r="KU4" s="77">
        <f t="shared" si="5"/>
        <v>5.023100742808561E-2</v>
      </c>
      <c r="KV4" s="77">
        <f t="shared" si="5"/>
        <v>5.1306371004981449E-2</v>
      </c>
      <c r="KW4" s="77">
        <f t="shared" si="5"/>
        <v>5.2331009314134765E-2</v>
      </c>
      <c r="KX4" s="77">
        <f t="shared" si="5"/>
        <v>5.3300996663672988E-2</v>
      </c>
      <c r="KY4" s="77">
        <f t="shared" si="5"/>
        <v>5.4212564717071698E-2</v>
      </c>
      <c r="KZ4" s="77">
        <f t="shared" si="5"/>
        <v>5.5062126808909748E-2</v>
      </c>
      <c r="LA4" s="77">
        <f t="shared" si="5"/>
        <v>5.5846301404759283E-2</v>
      </c>
      <c r="LB4" s="77">
        <f t="shared" si="5"/>
        <v>5.6561934490975331E-2</v>
      </c>
      <c r="LC4" s="77">
        <f t="shared" si="5"/>
        <v>5.7206120687257618E-2</v>
      </c>
      <c r="LD4" s="77">
        <f t="shared" si="5"/>
        <v>5.777622288442489E-2</v>
      </c>
      <c r="LE4" s="77">
        <f t="shared" si="5"/>
        <v>5.8269890221781334E-2</v>
      </c>
      <c r="LF4" s="77">
        <f t="shared" si="5"/>
        <v>5.8685074232648723E-2</v>
      </c>
      <c r="LG4" s="77">
        <f t="shared" si="5"/>
        <v>5.9020043002930386E-2</v>
      </c>
      <c r="LH4" s="77">
        <f t="shared" si="5"/>
        <v>5.9273393205781927E-2</v>
      </c>
      <c r="LI4" s="77">
        <f t="shared" si="5"/>
        <v>5.944405989537304E-2</v>
      </c>
      <c r="LJ4" s="77">
        <f t="shared" si="5"/>
        <v>5.9531323964097119E-2</v>
      </c>
      <c r="LK4" s="77">
        <f t="shared" si="5"/>
        <v>5.9534817190157026E-2</v>
      </c>
      <c r="LL4" s="77">
        <f t="shared" si="5"/>
        <v>5.9454524825948298E-2</v>
      </c>
      <c r="LM4" s="77">
        <f t="shared" si="5"/>
        <v>5.9290785701778856E-2</v>
      </c>
      <c r="LN4" s="77">
        <f t="shared" si="5"/>
        <v>5.9044289843904439E-2</v>
      </c>
      <c r="LO4" s="77">
        <f t="shared" si="5"/>
        <v>5.8716073630312046E-2</v>
      </c>
      <c r="LP4" s="77">
        <f t="shared" si="5"/>
        <v>5.8307512531840161E-2</v>
      </c>
      <c r="LQ4" s="77">
        <f t="shared" si="5"/>
        <v>5.7820311509780696E-2</v>
      </c>
      <c r="LR4" s="77">
        <f t="shared" si="5"/>
        <v>5.7256493163767158E-2</v>
      </c>
      <c r="LS4" s="77">
        <f t="shared" si="5"/>
        <v>5.6618383745235909E-2</v>
      </c>
      <c r="LT4" s="77">
        <f t="shared" si="5"/>
        <v>5.5908597171788629E-2</v>
      </c>
      <c r="LU4" s="77">
        <f t="shared" si="5"/>
        <v>5.5130017196142383E-2</v>
      </c>
      <c r="LV4" s="77">
        <f t="shared" si="5"/>
        <v>5.4285777899814334E-2</v>
      </c>
      <c r="LW4" s="77">
        <f t="shared" si="5"/>
        <v>5.3379242696062319E-2</v>
      </c>
      <c r="LX4" s="77">
        <f t="shared" si="5"/>
        <v>5.2413982038735846E-2</v>
      </c>
      <c r="LY4" s="77">
        <f t="shared" si="5"/>
        <v>5.1393750043460015E-2</v>
      </c>
      <c r="LZ4" s="77">
        <f t="shared" si="5"/>
        <v>5.0322460234890898E-2</v>
      </c>
      <c r="MA4" s="77">
        <f t="shared" si="5"/>
        <v>4.9204160638591649E-2</v>
      </c>
      <c r="MB4" s="77">
        <f t="shared" si="5"/>
        <v>4.8043008438367306E-2</v>
      </c>
      <c r="MC4" s="77">
        <f t="shared" si="5"/>
        <v>4.6843244419681733E-2</v>
      </c>
      <c r="MD4" s="77">
        <f t="shared" si="5"/>
        <v>4.5609167417115438E-2</v>
      </c>
      <c r="ME4" s="77">
        <f t="shared" si="5"/>
        <v>4.4345108978794123E-2</v>
      </c>
      <c r="MF4" s="77">
        <f t="shared" si="5"/>
        <v>4.3055408453441683E-2</v>
      </c>
      <c r="MG4" s="77">
        <f t="shared" si="5"/>
        <v>4.1744388696333741E-2</v>
      </c>
      <c r="MH4" s="77">
        <f t="shared" si="5"/>
        <v>4.0416332579118759E-2</v>
      </c>
      <c r="MI4" s="77">
        <f t="shared" si="5"/>
        <v>3.9075460475427683E-2</v>
      </c>
      <c r="MJ4" s="77">
        <f t="shared" si="5"/>
        <v>3.7725908879621121E-2</v>
      </c>
      <c r="MK4" s="77">
        <f t="shared" si="5"/>
        <v>3.6371710300151891E-2</v>
      </c>
      <c r="ML4" s="77">
        <f t="shared" si="5"/>
        <v>3.5016774552089451E-2</v>
      </c>
      <c r="MM4" s="77">
        <f t="shared" si="5"/>
        <v>3.3664871555605123E-2</v>
      </c>
      <c r="MN4" s="77">
        <f t="shared" ref="MN4:OY4" si="6">IF(ISNONTEXT($K4),_xlfn.NORM.DIST(EU4,$G4,$K4,FALSE),NA())</f>
        <v>3.2319615728901671E-2</v>
      </c>
      <c r="MO4" s="77">
        <f t="shared" si="6"/>
        <v>3.098445204543623E-2</v>
      </c>
      <c r="MP4" s="77">
        <f t="shared" si="6"/>
        <v>2.9662643806572759E-2</v>
      </c>
      <c r="MQ4" s="77">
        <f t="shared" si="6"/>
        <v>2.8357262162246408E-2</v>
      </c>
      <c r="MR4" s="77">
        <f t="shared" si="6"/>
        <v>2.7071177394049222E-2</v>
      </c>
      <c r="MS4" s="77">
        <f t="shared" si="6"/>
        <v>2.5807051957566031E-2</v>
      </c>
      <c r="MT4" s="77">
        <f t="shared" si="6"/>
        <v>2.4567335263992088E-2</v>
      </c>
      <c r="MU4" s="77">
        <f t="shared" si="6"/>
        <v>2.3354260165225332E-2</v>
      </c>
      <c r="MV4" s="77">
        <f t="shared" si="6"/>
        <v>2.216984109189854E-2</v>
      </c>
      <c r="MW4" s="77">
        <f t="shared" si="6"/>
        <v>2.1015873780330537E-2</v>
      </c>
      <c r="MX4" s="77">
        <f t="shared" si="6"/>
        <v>1.989393651223988E-2</v>
      </c>
      <c r="MY4" s="77">
        <f t="shared" si="6"/>
        <v>1.8805392780361429E-2</v>
      </c>
      <c r="MZ4" s="77">
        <f t="shared" si="6"/>
        <v>1.7751395283898238E-2</v>
      </c>
      <c r="NA4" s="77">
        <f t="shared" si="6"/>
        <v>1.6732891150062837E-2</v>
      </c>
      <c r="NB4" s="77">
        <f t="shared" si="6"/>
        <v>1.5750628271829079E-2</v>
      </c>
      <c r="NC4" s="77">
        <f t="shared" si="6"/>
        <v>1.4805162647418831E-2</v>
      </c>
      <c r="ND4" s="77">
        <f t="shared" si="6"/>
        <v>1.3896866603959465E-2</v>
      </c>
      <c r="NE4" s="77">
        <f t="shared" si="6"/>
        <v>1.3025937786120045E-2</v>
      </c>
      <c r="NF4" s="77">
        <f t="shared" si="6"/>
        <v>1.2192408790302358E-2</v>
      </c>
      <c r="NG4" s="77">
        <f t="shared" si="6"/>
        <v>1.1396157326046704E-2</v>
      </c>
      <c r="NH4" s="77">
        <f t="shared" si="6"/>
        <v>1.0636916788619522E-2</v>
      </c>
      <c r="NI4" s="77">
        <f t="shared" si="6"/>
        <v>9.9142871301755569E-3</v>
      </c>
      <c r="NJ4" s="77">
        <f t="shared" si="6"/>
        <v>9.2277459213194676E-3</v>
      </c>
      <c r="NK4" s="77">
        <f t="shared" si="6"/>
        <v>8.5766595002104949E-3</v>
      </c>
      <c r="NL4" s="77">
        <f t="shared" si="6"/>
        <v>7.9602941124365025E-3</v>
      </c>
      <c r="NM4" s="77">
        <f t="shared" si="6"/>
        <v>7.3778269516038796E-3</v>
      </c>
      <c r="NN4" s="77">
        <f t="shared" si="6"/>
        <v>6.828357017822361E-3</v>
      </c>
      <c r="NO4" s="77">
        <f t="shared" si="6"/>
        <v>6.3109157188843612E-3</v>
      </c>
      <c r="NP4" s="77">
        <f t="shared" si="6"/>
        <v>5.8244771468267025E-3</v>
      </c>
      <c r="NQ4" s="77">
        <f t="shared" si="6"/>
        <v>5.36796797060293E-3</v>
      </c>
      <c r="NR4" s="77">
        <f t="shared" si="6"/>
        <v>4.9402768936779168E-3</v>
      </c>
      <c r="NS4" s="77">
        <f t="shared" si="6"/>
        <v>4.540263633381233E-3</v>
      </c>
      <c r="NT4" s="77">
        <f t="shared" si="6"/>
        <v>4.1667673867290681E-3</v>
      </c>
      <c r="NU4" s="77">
        <f t="shared" si="6"/>
        <v>3.8186147550623517E-3</v>
      </c>
      <c r="NV4" s="77">
        <f t="shared" si="6"/>
        <v>3.494627107176677E-3</v>
      </c>
      <c r="NW4" s="77">
        <f t="shared" si="6"/>
        <v>3.193627367574294E-3</v>
      </c>
      <c r="NX4" s="77">
        <f t="shared" si="6"/>
        <v>2.9144462229952887E-3</v>
      </c>
      <c r="NY4" s="77">
        <f t="shared" si="6"/>
        <v>2.6559277464408238E-3</v>
      </c>
      <c r="NZ4" s="77">
        <f t="shared" si="6"/>
        <v>2.4169344434522384E-3</v>
      </c>
      <c r="OA4" s="77">
        <f t="shared" si="6"/>
        <v>2.196351730431791E-3</v>
      </c>
      <c r="OB4" s="77">
        <f t="shared" si="6"/>
        <v>1.9930918592690064E-3</v>
      </c>
      <c r="OC4" s="77">
        <f t="shared" si="6"/>
        <v>1.8060973064648539E-3</v>
      </c>
      <c r="OD4" s="77">
        <f t="shared" si="6"/>
        <v>1.6343436483257144E-3</v>
      </c>
      <c r="OE4" s="77">
        <f t="shared" si="6"/>
        <v>1.4768419466394634E-3</v>
      </c>
      <c r="OF4" s="77">
        <f t="shared" si="6"/>
        <v>1.3326406715621218E-3</v>
      </c>
      <c r="OG4" s="77">
        <f t="shared" si="6"/>
        <v>1.2008271902562912E-3</v>
      </c>
      <c r="OH4" s="77">
        <f t="shared" si="6"/>
        <v>1.0805288511577668E-3</v>
      </c>
      <c r="OI4" s="77">
        <f t="shared" si="6"/>
        <v>9.7091369463385814E-4</v>
      </c>
      <c r="OJ4" s="77">
        <f t="shared" si="6"/>
        <v>8.7119082126877628E-4</v>
      </c>
      <c r="OK4" s="77">
        <f t="shared" si="6"/>
        <v>7.806104491031744E-4</v>
      </c>
      <c r="OL4" s="77">
        <f t="shared" si="6"/>
        <v>6.9846369090307669E-4</v>
      </c>
      <c r="OM4" s="77">
        <f t="shared" si="6"/>
        <v>6.2408208197586694E-4</v>
      </c>
      <c r="ON4" s="77">
        <f t="shared" si="6"/>
        <v>5.5683688822532077E-4</v>
      </c>
      <c r="OO4" s="77">
        <f t="shared" si="6"/>
        <v>4.9613822308167935E-4</v>
      </c>
      <c r="OP4" s="77">
        <f t="shared" si="6"/>
        <v>4.4143400069298429E-4</v>
      </c>
      <c r="OQ4" s="77">
        <f t="shared" si="6"/>
        <v>3.9220875135592031E-4</v>
      </c>
      <c r="OR4" s="77">
        <f t="shared" si="6"/>
        <v>3.4798232363191233E-4</v>
      </c>
      <c r="OS4" s="77">
        <f t="shared" si="6"/>
        <v>3.0830849596904836E-4</v>
      </c>
      <c r="OT4" s="77">
        <f t="shared" si="6"/>
        <v>2.7277351896205185E-4</v>
      </c>
      <c r="OU4" s="77">
        <f t="shared" si="6"/>
        <v>2.4099460765821798E-4</v>
      </c>
      <c r="OV4" s="77">
        <f t="shared" si="6"/>
        <v>2.1261840158147367E-4</v>
      </c>
      <c r="OW4" s="77">
        <f t="shared" si="6"/>
        <v>1.8731940842155325E-4</v>
      </c>
      <c r="OX4" s="77">
        <f t="shared" si="6"/>
        <v>1.6479844564000457E-4</v>
      </c>
      <c r="OY4" s="77">
        <f t="shared" si="6"/>
        <v>1.4478109259607013E-4</v>
      </c>
      <c r="OZ4" s="77">
        <f t="shared" ref="OZ4:PH4" si="7">IF(ISNONTEXT($K4),_xlfn.NORM.DIST(HG4,$G4,$K4,FALSE),NA())</f>
        <v>1.2701616420758596E-4</v>
      </c>
      <c r="PA4" s="77">
        <f t="shared" si="7"/>
        <v>1.1127421564656802E-4</v>
      </c>
      <c r="PB4" s="77">
        <f t="shared" si="7"/>
        <v>9.734608613548019E-5</v>
      </c>
      <c r="PC4" s="77">
        <f t="shared" si="7"/>
        <v>8.5041488565411097E-5</v>
      </c>
      <c r="PD4" s="77">
        <f t="shared" si="7"/>
        <v>7.4187650406650941E-5</v>
      </c>
      <c r="PE4" s="77">
        <f t="shared" si="7"/>
        <v>6.4628010228681148E-5</v>
      </c>
      <c r="PF4" s="77">
        <f t="shared" si="7"/>
        <v>5.622097309192882E-5</v>
      </c>
      <c r="PG4" s="77">
        <f t="shared" si="7"/>
        <v>4.8838727117856758E-5</v>
      </c>
      <c r="PH4" s="77">
        <f t="shared" si="7"/>
        <v>4.2366122685818326E-5</v>
      </c>
    </row>
    <row r="5" spans="1:425" hidden="1">
      <c r="A5" s="2"/>
      <c r="B5" s="61">
        <f>SUM(B4:B4)</f>
        <v>66</v>
      </c>
      <c r="C5" s="61">
        <f>SUM(C4:C4)</f>
        <v>89.1</v>
      </c>
      <c r="D5" s="61">
        <f>SUM(D4:D4)</f>
        <v>110</v>
      </c>
      <c r="E5" s="20"/>
      <c r="F5" s="20"/>
      <c r="G5" s="61">
        <f>SUM(G4:G4)</f>
        <v>88.733333333333334</v>
      </c>
      <c r="H5" s="3"/>
      <c r="I5" s="3"/>
      <c r="J5" s="62">
        <f>IF(K4="","",SQRT(L5))</f>
        <v>6.7</v>
      </c>
      <c r="K5" s="62"/>
      <c r="L5" s="52">
        <f>IF(L4="","",SUM(L4:L4))</f>
        <v>44.89</v>
      </c>
      <c r="M5" s="61" t="str">
        <f>IF(SUM(M4:M4)=0,"",SUM(M4:M4))</f>
        <v/>
      </c>
      <c r="N5" s="56" t="str">
        <f>IF(OR(J5="",M5=""),"",ABS(VLOOKUP($M$1,VLookups!$A$17:$B$18,2,FALSE)-_xlfn.NORM.DIST(M5,G5,J5,TRUE)))</f>
        <v/>
      </c>
      <c r="O5" s="63">
        <f t="shared" ref="O5:T5" si="8">SUM(O4:O4)</f>
        <v>80.146937844184507</v>
      </c>
      <c r="P5" s="63">
        <f t="shared" si="8"/>
        <v>97.319728822482162</v>
      </c>
      <c r="Q5" s="63">
        <f t="shared" si="8"/>
        <v>95.677437042941733</v>
      </c>
      <c r="R5" s="63">
        <f t="shared" si="8"/>
        <v>94.372195598271858</v>
      </c>
      <c r="S5" s="63">
        <f t="shared" si="8"/>
        <v>93.252414659647087</v>
      </c>
      <c r="T5" s="63">
        <f t="shared" si="8"/>
        <v>92.246816768477203</v>
      </c>
      <c r="U5" s="3"/>
    </row>
    <row r="6" spans="1:425" hidden="1">
      <c r="A6" s="2"/>
      <c r="B6" s="3"/>
      <c r="C6" s="3"/>
      <c r="D6" s="3"/>
      <c r="E6" s="2"/>
      <c r="F6" s="2"/>
      <c r="G6" s="3"/>
      <c r="H6" s="2"/>
      <c r="I6" s="2"/>
      <c r="J6" s="2"/>
      <c r="K6" s="2"/>
      <c r="L6" s="2"/>
      <c r="M6" s="8"/>
      <c r="N6" s="3"/>
      <c r="O6" s="18"/>
      <c r="P6" s="18"/>
      <c r="Q6" s="18"/>
      <c r="R6" s="18"/>
      <c r="S6" s="18"/>
      <c r="T6" s="18"/>
      <c r="U6" s="3"/>
    </row>
    <row r="7" spans="1:425" ht="15.75" hidden="1">
      <c r="A7" s="3"/>
      <c r="B7" s="233" t="s">
        <v>37</v>
      </c>
      <c r="C7" s="234"/>
      <c r="D7" s="235"/>
      <c r="E7" s="3"/>
      <c r="F7" s="3"/>
      <c r="G7" s="146">
        <f>DATE(YEAR(B9),1,1)</f>
        <v>45658</v>
      </c>
      <c r="H7" s="3"/>
      <c r="I7" s="3"/>
      <c r="J7" s="17" t="s">
        <v>44</v>
      </c>
      <c r="K7" s="17"/>
      <c r="L7" s="17"/>
      <c r="M7" s="65">
        <v>1000</v>
      </c>
      <c r="N7" s="24">
        <f>IF(OR(J5="",M7=""),"",ABS(VLOOKUP($M$1,VLookups!$A$17:$B$18,2,FALSE)-_xlfn.NORM.DIST(M7,G5,J5,TRUE)))</f>
        <v>1</v>
      </c>
      <c r="O7" s="46">
        <f>IF($J$5="","",_xlfn.NORM.INV(ABS(VLOOKUP($M$1,VLookups!$A$17:$B$18,2,FALSE)-O$3),$G$5,$J5))</f>
        <v>80.146937844184507</v>
      </c>
      <c r="P7" s="47">
        <f>IF($J$5="","",_xlfn.NORM.INV(ABS(VLOOKUP($M$1,VLookups!$A$17:$B$18,2,FALSE)-P$3),$G$5,$J5))</f>
        <v>97.319728822482162</v>
      </c>
      <c r="Q7" s="48">
        <f>IF($J$5="","",_xlfn.NORM.INV(ABS(VLOOKUP($M$1,VLookups!$A$17:$B$18,2,FALSE)-Q$3),$G$5,$J5))</f>
        <v>95.677437042941733</v>
      </c>
      <c r="R7" s="49">
        <f>IF($J$5="","",_xlfn.NORM.INV(ABS(VLOOKUP($M$1,VLookups!$A$17:$B$18,2,FALSE)-R$3),$G$5,$J5))</f>
        <v>94.372195598271858</v>
      </c>
      <c r="S7" s="50">
        <f>IF($J$5="","",_xlfn.NORM.INV(ABS(VLOOKUP($M$1,VLookups!$A$17:$B$18,2,FALSE)-S$3),$G$5,$J5))</f>
        <v>93.252414659647087</v>
      </c>
      <c r="T7" s="51">
        <f>IF($J$5="","",_xlfn.NORM.INV(ABS(VLOOKUP($M$1,VLookups!$A$17:$B$18,2,FALSE)-T$3),$G$5,$J5))</f>
        <v>92.246816768477203</v>
      </c>
      <c r="U7" s="3"/>
    </row>
    <row r="8" spans="1:425" ht="14.65" thickBot="1">
      <c r="A8" s="3"/>
      <c r="B8" s="3"/>
      <c r="C8" s="3"/>
      <c r="D8" s="3"/>
      <c r="E8" s="2"/>
      <c r="F8" s="2"/>
      <c r="G8" s="3"/>
      <c r="H8" s="145" t="s">
        <v>631</v>
      </c>
      <c r="I8" s="3"/>
      <c r="J8" s="3"/>
      <c r="K8" s="3"/>
      <c r="L8" s="3"/>
      <c r="M8" s="3"/>
      <c r="N8" s="3"/>
      <c r="O8" s="3"/>
      <c r="P8" s="3"/>
      <c r="Q8" s="3"/>
      <c r="R8" s="3"/>
      <c r="S8" s="3"/>
      <c r="T8" s="3"/>
      <c r="U8" s="3"/>
      <c r="HP8" s="99">
        <f t="shared" ref="HP8:KA8" si="9">IF(AND($D$21&gt;0,$D$22&gt;0),IF(OR(W4&lt;$D$21,W4=$D$21),HP4,0),"")</f>
        <v>6.3885251524990522E-5</v>
      </c>
      <c r="HQ8" s="99">
        <f t="shared" si="9"/>
        <v>7.3343631061639596E-5</v>
      </c>
      <c r="HR8" s="99">
        <f t="shared" si="9"/>
        <v>8.4083854095758868E-5</v>
      </c>
      <c r="HS8" s="99">
        <f t="shared" si="9"/>
        <v>9.6261188144214474E-5</v>
      </c>
      <c r="HT8" s="99">
        <f t="shared" si="9"/>
        <v>1.1004700581927765E-4</v>
      </c>
      <c r="HU8" s="99">
        <f t="shared" si="9"/>
        <v>1.2563008351342315E-4</v>
      </c>
      <c r="HV8" s="99">
        <f t="shared" si="9"/>
        <v>1.4321795600431974E-4</v>
      </c>
      <c r="HW8" s="99">
        <f t="shared" si="9"/>
        <v>1.6303832275466965E-4</v>
      </c>
      <c r="HX8" s="99">
        <f t="shared" si="9"/>
        <v>1.8534050053627964E-4</v>
      </c>
      <c r="HY8" s="99">
        <f t="shared" si="9"/>
        <v>2.1039691576500783E-4</v>
      </c>
      <c r="HZ8" s="99">
        <f t="shared" si="9"/>
        <v>2.3850462859613874E-4</v>
      </c>
      <c r="IA8" s="99">
        <f t="shared" si="9"/>
        <v>2.6998687940322461E-4</v>
      </c>
      <c r="IB8" s="99">
        <f t="shared" si="9"/>
        <v>3.0519464675445306E-4</v>
      </c>
      <c r="IC8" s="99">
        <f t="shared" si="9"/>
        <v>3.4450820441831294E-4</v>
      </c>
      <c r="ID8" s="99">
        <f t="shared" si="9"/>
        <v>3.88338663286234E-4</v>
      </c>
      <c r="IE8" s="99">
        <f t="shared" si="9"/>
        <v>4.371294824078646E-4</v>
      </c>
      <c r="IF8" s="99">
        <f t="shared" si="9"/>
        <v>4.9135793161127856E-4</v>
      </c>
      <c r="IG8" s="99">
        <f t="shared" si="9"/>
        <v>5.5153648644473631E-4</v>
      </c>
      <c r="IH8" s="99">
        <f t="shared" si="9"/>
        <v>6.1821413445043881E-4</v>
      </c>
      <c r="II8" s="99">
        <f t="shared" si="9"/>
        <v>6.9197757008838511E-4</v>
      </c>
      <c r="IJ8" s="99">
        <f t="shared" si="9"/>
        <v>7.7345225399689957E-4</v>
      </c>
      <c r="IK8" s="99">
        <f t="shared" si="9"/>
        <v>8.6330331073498641E-4</v>
      </c>
      <c r="IL8" s="99">
        <f t="shared" si="9"/>
        <v>9.622362377320504E-4</v>
      </c>
      <c r="IM8" s="99">
        <f t="shared" si="9"/>
        <v>1.0709973969062574E-3</v>
      </c>
      <c r="IN8" s="99">
        <f t="shared" si="9"/>
        <v>1.1903742593392197E-3</v>
      </c>
      <c r="IO8" s="99">
        <f t="shared" si="9"/>
        <v>1.3211953725484815E-3</v>
      </c>
      <c r="IP8" s="99">
        <f t="shared" si="9"/>
        <v>1.4643300193178264E-3</v>
      </c>
      <c r="IQ8" s="99">
        <f t="shared" si="9"/>
        <v>1.6206875367667285E-3</v>
      </c>
      <c r="IR8" s="99">
        <f t="shared" si="9"/>
        <v>1.7912162644019276E-3</v>
      </c>
      <c r="IS8" s="99">
        <f t="shared" si="9"/>
        <v>1.9769020903328519E-3</v>
      </c>
      <c r="IT8" s="99">
        <f t="shared" si="9"/>
        <v>2.1787665656839489E-3</v>
      </c>
      <c r="IU8" s="99">
        <f t="shared" si="9"/>
        <v>2.3978645585335146E-3</v>
      </c>
      <c r="IV8" s="99">
        <f t="shared" si="9"/>
        <v>2.6352814204806617E-3</v>
      </c>
      <c r="IW8" s="99">
        <f t="shared" si="9"/>
        <v>2.8921296412153024E-3</v>
      </c>
      <c r="IX8" s="99">
        <f t="shared" si="9"/>
        <v>3.169544969262042E-3</v>
      </c>
      <c r="IY8" s="99">
        <f t="shared" si="9"/>
        <v>3.4686819804032568E-3</v>
      </c>
      <c r="IZ8" s="99">
        <f t="shared" si="9"/>
        <v>3.7907090791690226E-3</v>
      </c>
      <c r="JA8" s="99">
        <f t="shared" si="9"/>
        <v>4.1368029232139629E-3</v>
      </c>
      <c r="JB8" s="99">
        <f t="shared" si="9"/>
        <v>4.5081422653783215E-3</v>
      </c>
      <c r="JC8" s="99">
        <f t="shared" si="9"/>
        <v>4.9059012137380922E-3</v>
      </c>
      <c r="JD8" s="99">
        <f t="shared" si="9"/>
        <v>5.3312419159639007E-3</v>
      </c>
      <c r="JE8" s="99">
        <f t="shared" si="9"/>
        <v>5.7853066807975317E-3</v>
      </c>
      <c r="JF8" s="99">
        <f t="shared" si="9"/>
        <v>6.2692095563757896E-3</v>
      </c>
      <c r="JG8" s="99">
        <f t="shared" si="9"/>
        <v>6.7840273924306338E-3</v>
      </c>
      <c r="JH8" s="99">
        <f t="shared" si="9"/>
        <v>7.3307904210092451E-3</v>
      </c>
      <c r="JI8" s="99">
        <f t="shared" si="9"/>
        <v>7.9104723982144423E-3</v>
      </c>
      <c r="JJ8" s="99">
        <f t="shared" si="9"/>
        <v>8.5239803574813349E-3</v>
      </c>
      <c r="JK8" s="99">
        <f t="shared" si="9"/>
        <v>9.1721440329887334E-3</v>
      </c>
      <c r="JL8" s="99">
        <f t="shared" si="9"/>
        <v>9.8557050198515728E-3</v>
      </c>
      <c r="JM8" s="99">
        <f t="shared" si="9"/>
        <v>1.0575305745646003E-2</v>
      </c>
      <c r="JN8" s="99">
        <f t="shared" si="9"/>
        <v>1.1331478335466204E-2</v>
      </c>
      <c r="JO8" s="99">
        <f t="shared" si="9"/>
        <v>1.2124633459981538E-2</v>
      </c>
      <c r="JP8" s="99">
        <f t="shared" si="9"/>
        <v>1.2955049262730325E-2</v>
      </c>
      <c r="JQ8" s="99">
        <f t="shared" si="9"/>
        <v>1.3822860469027217E-2</v>
      </c>
      <c r="JR8" s="99">
        <f t="shared" si="9"/>
        <v>1.4728047784248181E-2</v>
      </c>
      <c r="JS8" s="99">
        <f t="shared" si="9"/>
        <v>1.5670427693767901E-2</v>
      </c>
      <c r="JT8" s="99">
        <f t="shared" si="9"/>
        <v>1.6649642780338252E-2</v>
      </c>
      <c r="JU8" s="99">
        <f t="shared" si="9"/>
        <v>1.7665152677101052E-2</v>
      </c>
      <c r="JV8" s="99">
        <f t="shared" si="9"/>
        <v>1.8716225775617632E-2</v>
      </c>
      <c r="JW8" s="99">
        <f t="shared" si="9"/>
        <v>1.9801931808179029E-2</v>
      </c>
      <c r="JX8" s="99">
        <f t="shared" si="9"/>
        <v>2.0921135422151405E-2</v>
      </c>
      <c r="JY8" s="99">
        <f t="shared" si="9"/>
        <v>2.207249086114697E-2</v>
      </c>
      <c r="JZ8" s="99">
        <f t="shared" si="9"/>
        <v>2.3254437863340686E-2</v>
      </c>
      <c r="KA8" s="99">
        <f t="shared" si="9"/>
        <v>2.4465198881248679E-2</v>
      </c>
      <c r="KB8" s="99">
        <f t="shared" ref="KB8:MM8" si="10">IF(AND($D$21&gt;0,$D$22&gt;0),IF(OR(CI4&lt;$D$21,CI4=$D$21),KB4,0),"")</f>
        <v>2.5702777719734834E-2</v>
      </c>
      <c r="KC8" s="99">
        <f t="shared" si="10"/>
        <v>2.6964959679929915E-2</v>
      </c>
      <c r="KD8" s="99">
        <f t="shared" si="10"/>
        <v>2.8249313286167758E-2</v>
      </c>
      <c r="KE8" s="99">
        <f t="shared" si="10"/>
        <v>2.9553193661023304E-2</v>
      </c>
      <c r="KF8" s="99">
        <f t="shared" si="10"/>
        <v>3.0873747600160196E-2</v>
      </c>
      <c r="KG8" s="99">
        <f t="shared" si="10"/>
        <v>3.2207920384066925E-2</v>
      </c>
      <c r="KH8" s="99">
        <f t="shared" si="10"/>
        <v>3.3552464348008362E-2</v>
      </c>
      <c r="KI8" s="99">
        <f t="shared" si="10"/>
        <v>3.490394921479642E-2</v>
      </c>
      <c r="KJ8" s="99">
        <f t="shared" si="10"/>
        <v>3.6258774177460616E-2</v>
      </c>
      <c r="KK8" s="99">
        <f t="shared" si="10"/>
        <v>3.7613181700768245E-2</v>
      </c>
      <c r="KL8" s="99">
        <f t="shared" si="10"/>
        <v>3.8963272992013263E-2</v>
      </c>
      <c r="KM8" s="99">
        <f t="shared" si="10"/>
        <v>4.0305025072784668E-2</v>
      </c>
      <c r="KN8" s="99">
        <f t="shared" si="10"/>
        <v>4.163430936477501E-2</v>
      </c>
      <c r="KO8" s="99">
        <f t="shared" si="10"/>
        <v>4.2946911684337861E-2</v>
      </c>
      <c r="KP8" s="99">
        <f t="shared" si="10"/>
        <v>4.4238553522699169E-2</v>
      </c>
      <c r="KQ8" s="99">
        <f t="shared" si="10"/>
        <v>4.5504914471718449E-2</v>
      </c>
      <c r="KR8" s="99">
        <f t="shared" si="10"/>
        <v>4.6741655639126772E-2</v>
      </c>
      <c r="KS8" s="99">
        <f t="shared" si="10"/>
        <v>4.7944443882480085E-2</v>
      </c>
      <c r="KT8" s="99">
        <f t="shared" si="10"/>
        <v>4.9108976677884025E-2</v>
      </c>
      <c r="KU8" s="99">
        <f t="shared" si="10"/>
        <v>5.023100742808561E-2</v>
      </c>
      <c r="KV8" s="99">
        <f t="shared" si="10"/>
        <v>5.1306371004981449E-2</v>
      </c>
      <c r="KW8" s="99">
        <f t="shared" si="10"/>
        <v>5.2331009314134765E-2</v>
      </c>
      <c r="KX8" s="99">
        <f t="shared" si="10"/>
        <v>5.3300996663672988E-2</v>
      </c>
      <c r="KY8" s="99">
        <f t="shared" si="10"/>
        <v>5.4212564717071698E-2</v>
      </c>
      <c r="KZ8" s="99">
        <f t="shared" si="10"/>
        <v>5.5062126808909748E-2</v>
      </c>
      <c r="LA8" s="99">
        <f t="shared" si="10"/>
        <v>5.5846301404759283E-2</v>
      </c>
      <c r="LB8" s="99">
        <f t="shared" si="10"/>
        <v>5.6561934490975331E-2</v>
      </c>
      <c r="LC8" s="99">
        <f t="shared" si="10"/>
        <v>5.7206120687257618E-2</v>
      </c>
      <c r="LD8" s="99">
        <f t="shared" si="10"/>
        <v>5.777622288442489E-2</v>
      </c>
      <c r="LE8" s="99">
        <f t="shared" si="10"/>
        <v>5.8269890221781334E-2</v>
      </c>
      <c r="LF8" s="99">
        <f t="shared" si="10"/>
        <v>5.8685074232648723E-2</v>
      </c>
      <c r="LG8" s="99">
        <f t="shared" si="10"/>
        <v>5.9020043002930386E-2</v>
      </c>
      <c r="LH8" s="99">
        <f t="shared" si="10"/>
        <v>5.9273393205781927E-2</v>
      </c>
      <c r="LI8" s="99">
        <f t="shared" si="10"/>
        <v>5.944405989537304E-2</v>
      </c>
      <c r="LJ8" s="99">
        <f t="shared" si="10"/>
        <v>5.9531323964097119E-2</v>
      </c>
      <c r="LK8" s="99">
        <f t="shared" si="10"/>
        <v>5.9534817190157026E-2</v>
      </c>
      <c r="LL8" s="99">
        <f t="shared" si="10"/>
        <v>5.9454524825948298E-2</v>
      </c>
      <c r="LM8" s="99">
        <f t="shared" si="10"/>
        <v>5.9290785701778856E-2</v>
      </c>
      <c r="LN8" s="99">
        <f t="shared" si="10"/>
        <v>5.9044289843904439E-2</v>
      </c>
      <c r="LO8" s="99">
        <f t="shared" si="10"/>
        <v>5.8716073630312046E-2</v>
      </c>
      <c r="LP8" s="99">
        <f t="shared" si="10"/>
        <v>0</v>
      </c>
      <c r="LQ8" s="99">
        <f t="shared" si="10"/>
        <v>0</v>
      </c>
      <c r="LR8" s="99">
        <f t="shared" si="10"/>
        <v>0</v>
      </c>
      <c r="LS8" s="99">
        <f t="shared" si="10"/>
        <v>0</v>
      </c>
      <c r="LT8" s="99">
        <f t="shared" si="10"/>
        <v>0</v>
      </c>
      <c r="LU8" s="99">
        <f t="shared" si="10"/>
        <v>0</v>
      </c>
      <c r="LV8" s="99">
        <f t="shared" si="10"/>
        <v>0</v>
      </c>
      <c r="LW8" s="99">
        <f t="shared" si="10"/>
        <v>0</v>
      </c>
      <c r="LX8" s="99">
        <f t="shared" si="10"/>
        <v>0</v>
      </c>
      <c r="LY8" s="99">
        <f t="shared" si="10"/>
        <v>0</v>
      </c>
      <c r="LZ8" s="99">
        <f t="shared" si="10"/>
        <v>0</v>
      </c>
      <c r="MA8" s="99">
        <f t="shared" si="10"/>
        <v>0</v>
      </c>
      <c r="MB8" s="99">
        <f t="shared" si="10"/>
        <v>0</v>
      </c>
      <c r="MC8" s="99">
        <f t="shared" si="10"/>
        <v>0</v>
      </c>
      <c r="MD8" s="99">
        <f t="shared" si="10"/>
        <v>0</v>
      </c>
      <c r="ME8" s="99">
        <f t="shared" si="10"/>
        <v>0</v>
      </c>
      <c r="MF8" s="99">
        <f t="shared" si="10"/>
        <v>0</v>
      </c>
      <c r="MG8" s="99">
        <f t="shared" si="10"/>
        <v>0</v>
      </c>
      <c r="MH8" s="99">
        <f t="shared" si="10"/>
        <v>0</v>
      </c>
      <c r="MI8" s="99">
        <f t="shared" si="10"/>
        <v>0</v>
      </c>
      <c r="MJ8" s="99">
        <f t="shared" si="10"/>
        <v>0</v>
      </c>
      <c r="MK8" s="99">
        <f t="shared" si="10"/>
        <v>0</v>
      </c>
      <c r="ML8" s="99">
        <f t="shared" si="10"/>
        <v>0</v>
      </c>
      <c r="MM8" s="99">
        <f t="shared" si="10"/>
        <v>0</v>
      </c>
      <c r="MN8" s="99">
        <f t="shared" ref="MN8:OY8" si="11">IF(AND($D$21&gt;0,$D$22&gt;0),IF(OR(EU4&lt;$D$21,EU4=$D$21),MN4,0),"")</f>
        <v>0</v>
      </c>
      <c r="MO8" s="99">
        <f t="shared" si="11"/>
        <v>0</v>
      </c>
      <c r="MP8" s="99">
        <f t="shared" si="11"/>
        <v>0</v>
      </c>
      <c r="MQ8" s="99">
        <f t="shared" si="11"/>
        <v>0</v>
      </c>
      <c r="MR8" s="99">
        <f t="shared" si="11"/>
        <v>0</v>
      </c>
      <c r="MS8" s="99">
        <f t="shared" si="11"/>
        <v>0</v>
      </c>
      <c r="MT8" s="99">
        <f t="shared" si="11"/>
        <v>0</v>
      </c>
      <c r="MU8" s="99">
        <f t="shared" si="11"/>
        <v>0</v>
      </c>
      <c r="MV8" s="99">
        <f t="shared" si="11"/>
        <v>0</v>
      </c>
      <c r="MW8" s="99">
        <f t="shared" si="11"/>
        <v>0</v>
      </c>
      <c r="MX8" s="99">
        <f t="shared" si="11"/>
        <v>0</v>
      </c>
      <c r="MY8" s="99">
        <f t="shared" si="11"/>
        <v>0</v>
      </c>
      <c r="MZ8" s="99">
        <f t="shared" si="11"/>
        <v>0</v>
      </c>
      <c r="NA8" s="99">
        <f t="shared" si="11"/>
        <v>0</v>
      </c>
      <c r="NB8" s="99">
        <f t="shared" si="11"/>
        <v>0</v>
      </c>
      <c r="NC8" s="99">
        <f t="shared" si="11"/>
        <v>0</v>
      </c>
      <c r="ND8" s="99">
        <f t="shared" si="11"/>
        <v>0</v>
      </c>
      <c r="NE8" s="99">
        <f t="shared" si="11"/>
        <v>0</v>
      </c>
      <c r="NF8" s="99">
        <f t="shared" si="11"/>
        <v>0</v>
      </c>
      <c r="NG8" s="99">
        <f t="shared" si="11"/>
        <v>0</v>
      </c>
      <c r="NH8" s="99">
        <f t="shared" si="11"/>
        <v>0</v>
      </c>
      <c r="NI8" s="99">
        <f t="shared" si="11"/>
        <v>0</v>
      </c>
      <c r="NJ8" s="99">
        <f t="shared" si="11"/>
        <v>0</v>
      </c>
      <c r="NK8" s="99">
        <f t="shared" si="11"/>
        <v>0</v>
      </c>
      <c r="NL8" s="99">
        <f t="shared" si="11"/>
        <v>0</v>
      </c>
      <c r="NM8" s="99">
        <f t="shared" si="11"/>
        <v>0</v>
      </c>
      <c r="NN8" s="99">
        <f t="shared" si="11"/>
        <v>0</v>
      </c>
      <c r="NO8" s="99">
        <f t="shared" si="11"/>
        <v>0</v>
      </c>
      <c r="NP8" s="99">
        <f t="shared" si="11"/>
        <v>0</v>
      </c>
      <c r="NQ8" s="99">
        <f t="shared" si="11"/>
        <v>0</v>
      </c>
      <c r="NR8" s="99">
        <f t="shared" si="11"/>
        <v>0</v>
      </c>
      <c r="NS8" s="99">
        <f t="shared" si="11"/>
        <v>0</v>
      </c>
      <c r="NT8" s="99">
        <f t="shared" si="11"/>
        <v>0</v>
      </c>
      <c r="NU8" s="99">
        <f t="shared" si="11"/>
        <v>0</v>
      </c>
      <c r="NV8" s="99">
        <f t="shared" si="11"/>
        <v>0</v>
      </c>
      <c r="NW8" s="99">
        <f t="shared" si="11"/>
        <v>0</v>
      </c>
      <c r="NX8" s="99">
        <f t="shared" si="11"/>
        <v>0</v>
      </c>
      <c r="NY8" s="99">
        <f t="shared" si="11"/>
        <v>0</v>
      </c>
      <c r="NZ8" s="99">
        <f t="shared" si="11"/>
        <v>0</v>
      </c>
      <c r="OA8" s="99">
        <f t="shared" si="11"/>
        <v>0</v>
      </c>
      <c r="OB8" s="99">
        <f t="shared" si="11"/>
        <v>0</v>
      </c>
      <c r="OC8" s="99">
        <f t="shared" si="11"/>
        <v>0</v>
      </c>
      <c r="OD8" s="99">
        <f t="shared" si="11"/>
        <v>0</v>
      </c>
      <c r="OE8" s="99">
        <f t="shared" si="11"/>
        <v>0</v>
      </c>
      <c r="OF8" s="99">
        <f t="shared" si="11"/>
        <v>0</v>
      </c>
      <c r="OG8" s="99">
        <f t="shared" si="11"/>
        <v>0</v>
      </c>
      <c r="OH8" s="99">
        <f t="shared" si="11"/>
        <v>0</v>
      </c>
      <c r="OI8" s="99">
        <f t="shared" si="11"/>
        <v>0</v>
      </c>
      <c r="OJ8" s="99">
        <f t="shared" si="11"/>
        <v>0</v>
      </c>
      <c r="OK8" s="99">
        <f t="shared" si="11"/>
        <v>0</v>
      </c>
      <c r="OL8" s="99">
        <f t="shared" si="11"/>
        <v>0</v>
      </c>
      <c r="OM8" s="99">
        <f t="shared" si="11"/>
        <v>0</v>
      </c>
      <c r="ON8" s="99">
        <f t="shared" si="11"/>
        <v>0</v>
      </c>
      <c r="OO8" s="99">
        <f t="shared" si="11"/>
        <v>0</v>
      </c>
      <c r="OP8" s="99">
        <f t="shared" si="11"/>
        <v>0</v>
      </c>
      <c r="OQ8" s="99">
        <f t="shared" si="11"/>
        <v>0</v>
      </c>
      <c r="OR8" s="99">
        <f t="shared" si="11"/>
        <v>0</v>
      </c>
      <c r="OS8" s="99">
        <f t="shared" si="11"/>
        <v>0</v>
      </c>
      <c r="OT8" s="99">
        <f t="shared" si="11"/>
        <v>0</v>
      </c>
      <c r="OU8" s="99">
        <f t="shared" si="11"/>
        <v>0</v>
      </c>
      <c r="OV8" s="99">
        <f t="shared" si="11"/>
        <v>0</v>
      </c>
      <c r="OW8" s="99">
        <f t="shared" si="11"/>
        <v>0</v>
      </c>
      <c r="OX8" s="99">
        <f t="shared" si="11"/>
        <v>0</v>
      </c>
      <c r="OY8" s="99">
        <f t="shared" si="11"/>
        <v>0</v>
      </c>
      <c r="OZ8" s="99">
        <f t="shared" ref="OZ8:PH8" si="12">IF(AND($D$21&gt;0,$D$22&gt;0),IF(OR(HG4&lt;$D$21,HG4=$D$21),OZ4,0),"")</f>
        <v>0</v>
      </c>
      <c r="PA8" s="99">
        <f t="shared" si="12"/>
        <v>0</v>
      </c>
      <c r="PB8" s="99">
        <f t="shared" si="12"/>
        <v>0</v>
      </c>
      <c r="PC8" s="99">
        <f t="shared" si="12"/>
        <v>0</v>
      </c>
      <c r="PD8" s="99">
        <f t="shared" si="12"/>
        <v>0</v>
      </c>
      <c r="PE8" s="99">
        <f t="shared" si="12"/>
        <v>0</v>
      </c>
      <c r="PF8" s="99">
        <f t="shared" si="12"/>
        <v>0</v>
      </c>
      <c r="PG8" s="99">
        <f t="shared" si="12"/>
        <v>0</v>
      </c>
      <c r="PH8" s="99">
        <f t="shared" si="12"/>
        <v>0</v>
      </c>
    </row>
    <row r="9" spans="1:425" ht="18.5" customHeight="1">
      <c r="A9" s="160" t="s">
        <v>632</v>
      </c>
      <c r="B9" s="161">
        <v>45747</v>
      </c>
      <c r="C9" s="162" t="s">
        <v>639</v>
      </c>
      <c r="D9" s="163">
        <f>(B9-$G$7)+1</f>
        <v>90</v>
      </c>
      <c r="G9" s="38" t="s">
        <v>636</v>
      </c>
      <c r="H9" s="3"/>
      <c r="I9" s="3"/>
      <c r="J9" s="3"/>
      <c r="K9" s="3"/>
      <c r="L9" s="3"/>
      <c r="M9" s="3"/>
      <c r="N9" s="3"/>
      <c r="O9" s="3"/>
      <c r="P9" s="3"/>
      <c r="Q9" s="3"/>
      <c r="R9" s="3"/>
      <c r="S9" s="3"/>
      <c r="T9" s="3"/>
      <c r="U9" s="3"/>
      <c r="HP9" s="99">
        <f t="shared" ref="HP9:KA9" si="13">IF(AND($D$21&gt;0,$D$22&gt;0),IF(AND(W4&gt;$D$21,OR(W4&lt;$D$22,W4=$D$22)),HP4,0),"")</f>
        <v>0</v>
      </c>
      <c r="HQ9" s="99">
        <f t="shared" si="13"/>
        <v>0</v>
      </c>
      <c r="HR9" s="99">
        <f t="shared" si="13"/>
        <v>0</v>
      </c>
      <c r="HS9" s="99">
        <f t="shared" si="13"/>
        <v>0</v>
      </c>
      <c r="HT9" s="99">
        <f t="shared" si="13"/>
        <v>0</v>
      </c>
      <c r="HU9" s="99">
        <f t="shared" si="13"/>
        <v>0</v>
      </c>
      <c r="HV9" s="99">
        <f t="shared" si="13"/>
        <v>0</v>
      </c>
      <c r="HW9" s="99">
        <f t="shared" si="13"/>
        <v>0</v>
      </c>
      <c r="HX9" s="99">
        <f t="shared" si="13"/>
        <v>0</v>
      </c>
      <c r="HY9" s="99">
        <f t="shared" si="13"/>
        <v>0</v>
      </c>
      <c r="HZ9" s="99">
        <f t="shared" si="13"/>
        <v>0</v>
      </c>
      <c r="IA9" s="99">
        <f t="shared" si="13"/>
        <v>0</v>
      </c>
      <c r="IB9" s="99">
        <f t="shared" si="13"/>
        <v>0</v>
      </c>
      <c r="IC9" s="99">
        <f t="shared" si="13"/>
        <v>0</v>
      </c>
      <c r="ID9" s="99">
        <f t="shared" si="13"/>
        <v>0</v>
      </c>
      <c r="IE9" s="99">
        <f t="shared" si="13"/>
        <v>0</v>
      </c>
      <c r="IF9" s="99">
        <f t="shared" si="13"/>
        <v>0</v>
      </c>
      <c r="IG9" s="99">
        <f t="shared" si="13"/>
        <v>0</v>
      </c>
      <c r="IH9" s="99">
        <f t="shared" si="13"/>
        <v>0</v>
      </c>
      <c r="II9" s="99">
        <f t="shared" si="13"/>
        <v>0</v>
      </c>
      <c r="IJ9" s="99">
        <f t="shared" si="13"/>
        <v>0</v>
      </c>
      <c r="IK9" s="99">
        <f t="shared" si="13"/>
        <v>0</v>
      </c>
      <c r="IL9" s="99">
        <f t="shared" si="13"/>
        <v>0</v>
      </c>
      <c r="IM9" s="99">
        <f t="shared" si="13"/>
        <v>0</v>
      </c>
      <c r="IN9" s="99">
        <f t="shared" si="13"/>
        <v>0</v>
      </c>
      <c r="IO9" s="99">
        <f t="shared" si="13"/>
        <v>0</v>
      </c>
      <c r="IP9" s="99">
        <f t="shared" si="13"/>
        <v>0</v>
      </c>
      <c r="IQ9" s="99">
        <f t="shared" si="13"/>
        <v>0</v>
      </c>
      <c r="IR9" s="99">
        <f t="shared" si="13"/>
        <v>0</v>
      </c>
      <c r="IS9" s="99">
        <f t="shared" si="13"/>
        <v>0</v>
      </c>
      <c r="IT9" s="99">
        <f t="shared" si="13"/>
        <v>0</v>
      </c>
      <c r="IU9" s="99">
        <f t="shared" si="13"/>
        <v>0</v>
      </c>
      <c r="IV9" s="99">
        <f t="shared" si="13"/>
        <v>0</v>
      </c>
      <c r="IW9" s="99">
        <f t="shared" si="13"/>
        <v>0</v>
      </c>
      <c r="IX9" s="99">
        <f t="shared" si="13"/>
        <v>0</v>
      </c>
      <c r="IY9" s="99">
        <f t="shared" si="13"/>
        <v>0</v>
      </c>
      <c r="IZ9" s="99">
        <f t="shared" si="13"/>
        <v>0</v>
      </c>
      <c r="JA9" s="99">
        <f t="shared" si="13"/>
        <v>0</v>
      </c>
      <c r="JB9" s="99">
        <f t="shared" si="13"/>
        <v>0</v>
      </c>
      <c r="JC9" s="99">
        <f t="shared" si="13"/>
        <v>0</v>
      </c>
      <c r="JD9" s="99">
        <f t="shared" si="13"/>
        <v>0</v>
      </c>
      <c r="JE9" s="99">
        <f t="shared" si="13"/>
        <v>0</v>
      </c>
      <c r="JF9" s="99">
        <f t="shared" si="13"/>
        <v>0</v>
      </c>
      <c r="JG9" s="99">
        <f t="shared" si="13"/>
        <v>0</v>
      </c>
      <c r="JH9" s="99">
        <f t="shared" si="13"/>
        <v>0</v>
      </c>
      <c r="JI9" s="99">
        <f t="shared" si="13"/>
        <v>0</v>
      </c>
      <c r="JJ9" s="99">
        <f t="shared" si="13"/>
        <v>0</v>
      </c>
      <c r="JK9" s="99">
        <f t="shared" si="13"/>
        <v>0</v>
      </c>
      <c r="JL9" s="99">
        <f t="shared" si="13"/>
        <v>0</v>
      </c>
      <c r="JM9" s="99">
        <f t="shared" si="13"/>
        <v>0</v>
      </c>
      <c r="JN9" s="99">
        <f t="shared" si="13"/>
        <v>0</v>
      </c>
      <c r="JO9" s="99">
        <f t="shared" si="13"/>
        <v>0</v>
      </c>
      <c r="JP9" s="99">
        <f t="shared" si="13"/>
        <v>0</v>
      </c>
      <c r="JQ9" s="99">
        <f t="shared" si="13"/>
        <v>0</v>
      </c>
      <c r="JR9" s="99">
        <f t="shared" si="13"/>
        <v>0</v>
      </c>
      <c r="JS9" s="99">
        <f t="shared" si="13"/>
        <v>0</v>
      </c>
      <c r="JT9" s="99">
        <f t="shared" si="13"/>
        <v>0</v>
      </c>
      <c r="JU9" s="99">
        <f t="shared" si="13"/>
        <v>0</v>
      </c>
      <c r="JV9" s="99">
        <f t="shared" si="13"/>
        <v>0</v>
      </c>
      <c r="JW9" s="99">
        <f t="shared" si="13"/>
        <v>0</v>
      </c>
      <c r="JX9" s="99">
        <f t="shared" si="13"/>
        <v>0</v>
      </c>
      <c r="JY9" s="99">
        <f t="shared" si="13"/>
        <v>0</v>
      </c>
      <c r="JZ9" s="99">
        <f t="shared" si="13"/>
        <v>0</v>
      </c>
      <c r="KA9" s="99">
        <f t="shared" si="13"/>
        <v>0</v>
      </c>
      <c r="KB9" s="99">
        <f t="shared" ref="KB9:MM9" si="14">IF(AND($D$21&gt;0,$D$22&gt;0),IF(AND(CI4&gt;$D$21,OR(CI4&lt;$D$22,CI4=$D$22)),KB4,0),"")</f>
        <v>0</v>
      </c>
      <c r="KC9" s="99">
        <f t="shared" si="14"/>
        <v>0</v>
      </c>
      <c r="KD9" s="99">
        <f t="shared" si="14"/>
        <v>0</v>
      </c>
      <c r="KE9" s="99">
        <f t="shared" si="14"/>
        <v>0</v>
      </c>
      <c r="KF9" s="99">
        <f t="shared" si="14"/>
        <v>0</v>
      </c>
      <c r="KG9" s="99">
        <f t="shared" si="14"/>
        <v>0</v>
      </c>
      <c r="KH9" s="99">
        <f t="shared" si="14"/>
        <v>0</v>
      </c>
      <c r="KI9" s="99">
        <f t="shared" si="14"/>
        <v>0</v>
      </c>
      <c r="KJ9" s="99">
        <f t="shared" si="14"/>
        <v>0</v>
      </c>
      <c r="KK9" s="99">
        <f t="shared" si="14"/>
        <v>0</v>
      </c>
      <c r="KL9" s="99">
        <f t="shared" si="14"/>
        <v>0</v>
      </c>
      <c r="KM9" s="99">
        <f t="shared" si="14"/>
        <v>0</v>
      </c>
      <c r="KN9" s="99">
        <f t="shared" si="14"/>
        <v>0</v>
      </c>
      <c r="KO9" s="99">
        <f t="shared" si="14"/>
        <v>0</v>
      </c>
      <c r="KP9" s="99">
        <f t="shared" si="14"/>
        <v>0</v>
      </c>
      <c r="KQ9" s="99">
        <f t="shared" si="14"/>
        <v>0</v>
      </c>
      <c r="KR9" s="99">
        <f t="shared" si="14"/>
        <v>0</v>
      </c>
      <c r="KS9" s="99">
        <f t="shared" si="14"/>
        <v>0</v>
      </c>
      <c r="KT9" s="99">
        <f t="shared" si="14"/>
        <v>0</v>
      </c>
      <c r="KU9" s="99">
        <f t="shared" si="14"/>
        <v>0</v>
      </c>
      <c r="KV9" s="99">
        <f t="shared" si="14"/>
        <v>0</v>
      </c>
      <c r="KW9" s="99">
        <f t="shared" si="14"/>
        <v>0</v>
      </c>
      <c r="KX9" s="99">
        <f t="shared" si="14"/>
        <v>0</v>
      </c>
      <c r="KY9" s="99">
        <f t="shared" si="14"/>
        <v>0</v>
      </c>
      <c r="KZ9" s="99">
        <f t="shared" si="14"/>
        <v>0</v>
      </c>
      <c r="LA9" s="99">
        <f t="shared" si="14"/>
        <v>0</v>
      </c>
      <c r="LB9" s="99">
        <f t="shared" si="14"/>
        <v>0</v>
      </c>
      <c r="LC9" s="99">
        <f t="shared" si="14"/>
        <v>0</v>
      </c>
      <c r="LD9" s="99">
        <f t="shared" si="14"/>
        <v>0</v>
      </c>
      <c r="LE9" s="99">
        <f t="shared" si="14"/>
        <v>0</v>
      </c>
      <c r="LF9" s="99">
        <f t="shared" si="14"/>
        <v>0</v>
      </c>
      <c r="LG9" s="99">
        <f t="shared" si="14"/>
        <v>0</v>
      </c>
      <c r="LH9" s="99">
        <f t="shared" si="14"/>
        <v>0</v>
      </c>
      <c r="LI9" s="99">
        <f t="shared" si="14"/>
        <v>0</v>
      </c>
      <c r="LJ9" s="99">
        <f t="shared" si="14"/>
        <v>0</v>
      </c>
      <c r="LK9" s="99">
        <f t="shared" si="14"/>
        <v>0</v>
      </c>
      <c r="LL9" s="99">
        <f t="shared" si="14"/>
        <v>0</v>
      </c>
      <c r="LM9" s="99">
        <f t="shared" si="14"/>
        <v>0</v>
      </c>
      <c r="LN9" s="99">
        <f t="shared" si="14"/>
        <v>0</v>
      </c>
      <c r="LO9" s="99">
        <f t="shared" si="14"/>
        <v>0</v>
      </c>
      <c r="LP9" s="99">
        <f t="shared" si="14"/>
        <v>5.8307512531840161E-2</v>
      </c>
      <c r="LQ9" s="99">
        <f t="shared" si="14"/>
        <v>5.7820311509780696E-2</v>
      </c>
      <c r="LR9" s="99">
        <f t="shared" si="14"/>
        <v>5.7256493163767158E-2</v>
      </c>
      <c r="LS9" s="99">
        <f t="shared" si="14"/>
        <v>5.6618383745235909E-2</v>
      </c>
      <c r="LT9" s="99">
        <f t="shared" si="14"/>
        <v>5.5908597171788629E-2</v>
      </c>
      <c r="LU9" s="99">
        <f t="shared" si="14"/>
        <v>5.5130017196142383E-2</v>
      </c>
      <c r="LV9" s="99">
        <f t="shared" si="14"/>
        <v>5.4285777899814334E-2</v>
      </c>
      <c r="LW9" s="99">
        <f t="shared" si="14"/>
        <v>5.3379242696062319E-2</v>
      </c>
      <c r="LX9" s="99">
        <f t="shared" si="14"/>
        <v>0</v>
      </c>
      <c r="LY9" s="99">
        <f t="shared" si="14"/>
        <v>0</v>
      </c>
      <c r="LZ9" s="99">
        <f t="shared" si="14"/>
        <v>0</v>
      </c>
      <c r="MA9" s="99">
        <f t="shared" si="14"/>
        <v>0</v>
      </c>
      <c r="MB9" s="99">
        <f t="shared" si="14"/>
        <v>0</v>
      </c>
      <c r="MC9" s="99">
        <f t="shared" si="14"/>
        <v>0</v>
      </c>
      <c r="MD9" s="99">
        <f t="shared" si="14"/>
        <v>0</v>
      </c>
      <c r="ME9" s="99">
        <f t="shared" si="14"/>
        <v>0</v>
      </c>
      <c r="MF9" s="99">
        <f t="shared" si="14"/>
        <v>0</v>
      </c>
      <c r="MG9" s="99">
        <f t="shared" si="14"/>
        <v>0</v>
      </c>
      <c r="MH9" s="99">
        <f t="shared" si="14"/>
        <v>0</v>
      </c>
      <c r="MI9" s="99">
        <f t="shared" si="14"/>
        <v>0</v>
      </c>
      <c r="MJ9" s="99">
        <f t="shared" si="14"/>
        <v>0</v>
      </c>
      <c r="MK9" s="99">
        <f t="shared" si="14"/>
        <v>0</v>
      </c>
      <c r="ML9" s="99">
        <f t="shared" si="14"/>
        <v>0</v>
      </c>
      <c r="MM9" s="99">
        <f t="shared" si="14"/>
        <v>0</v>
      </c>
      <c r="MN9" s="99">
        <f t="shared" ref="MN9:OY9" si="15">IF(AND($D$21&gt;0,$D$22&gt;0),IF(AND(EU4&gt;$D$21,OR(EU4&lt;$D$22,EU4=$D$22)),MN4,0),"")</f>
        <v>0</v>
      </c>
      <c r="MO9" s="99">
        <f t="shared" si="15"/>
        <v>0</v>
      </c>
      <c r="MP9" s="99">
        <f t="shared" si="15"/>
        <v>0</v>
      </c>
      <c r="MQ9" s="99">
        <f t="shared" si="15"/>
        <v>0</v>
      </c>
      <c r="MR9" s="99">
        <f t="shared" si="15"/>
        <v>0</v>
      </c>
      <c r="MS9" s="99">
        <f t="shared" si="15"/>
        <v>0</v>
      </c>
      <c r="MT9" s="99">
        <f t="shared" si="15"/>
        <v>0</v>
      </c>
      <c r="MU9" s="99">
        <f t="shared" si="15"/>
        <v>0</v>
      </c>
      <c r="MV9" s="99">
        <f t="shared" si="15"/>
        <v>0</v>
      </c>
      <c r="MW9" s="99">
        <f t="shared" si="15"/>
        <v>0</v>
      </c>
      <c r="MX9" s="99">
        <f t="shared" si="15"/>
        <v>0</v>
      </c>
      <c r="MY9" s="99">
        <f t="shared" si="15"/>
        <v>0</v>
      </c>
      <c r="MZ9" s="99">
        <f t="shared" si="15"/>
        <v>0</v>
      </c>
      <c r="NA9" s="99">
        <f t="shared" si="15"/>
        <v>0</v>
      </c>
      <c r="NB9" s="99">
        <f t="shared" si="15"/>
        <v>0</v>
      </c>
      <c r="NC9" s="99">
        <f t="shared" si="15"/>
        <v>0</v>
      </c>
      <c r="ND9" s="99">
        <f t="shared" si="15"/>
        <v>0</v>
      </c>
      <c r="NE9" s="99">
        <f t="shared" si="15"/>
        <v>0</v>
      </c>
      <c r="NF9" s="99">
        <f t="shared" si="15"/>
        <v>0</v>
      </c>
      <c r="NG9" s="99">
        <f t="shared" si="15"/>
        <v>0</v>
      </c>
      <c r="NH9" s="99">
        <f t="shared" si="15"/>
        <v>0</v>
      </c>
      <c r="NI9" s="99">
        <f t="shared" si="15"/>
        <v>0</v>
      </c>
      <c r="NJ9" s="99">
        <f t="shared" si="15"/>
        <v>0</v>
      </c>
      <c r="NK9" s="99">
        <f t="shared" si="15"/>
        <v>0</v>
      </c>
      <c r="NL9" s="99">
        <f t="shared" si="15"/>
        <v>0</v>
      </c>
      <c r="NM9" s="99">
        <f t="shared" si="15"/>
        <v>0</v>
      </c>
      <c r="NN9" s="99">
        <f t="shared" si="15"/>
        <v>0</v>
      </c>
      <c r="NO9" s="99">
        <f t="shared" si="15"/>
        <v>0</v>
      </c>
      <c r="NP9" s="99">
        <f t="shared" si="15"/>
        <v>0</v>
      </c>
      <c r="NQ9" s="99">
        <f t="shared" si="15"/>
        <v>0</v>
      </c>
      <c r="NR9" s="99">
        <f t="shared" si="15"/>
        <v>0</v>
      </c>
      <c r="NS9" s="99">
        <f t="shared" si="15"/>
        <v>0</v>
      </c>
      <c r="NT9" s="99">
        <f t="shared" si="15"/>
        <v>0</v>
      </c>
      <c r="NU9" s="99">
        <f t="shared" si="15"/>
        <v>0</v>
      </c>
      <c r="NV9" s="99">
        <f t="shared" si="15"/>
        <v>0</v>
      </c>
      <c r="NW9" s="99">
        <f t="shared" si="15"/>
        <v>0</v>
      </c>
      <c r="NX9" s="99">
        <f t="shared" si="15"/>
        <v>0</v>
      </c>
      <c r="NY9" s="99">
        <f t="shared" si="15"/>
        <v>0</v>
      </c>
      <c r="NZ9" s="99">
        <f t="shared" si="15"/>
        <v>0</v>
      </c>
      <c r="OA9" s="99">
        <f t="shared" si="15"/>
        <v>0</v>
      </c>
      <c r="OB9" s="99">
        <f t="shared" si="15"/>
        <v>0</v>
      </c>
      <c r="OC9" s="99">
        <f t="shared" si="15"/>
        <v>0</v>
      </c>
      <c r="OD9" s="99">
        <f t="shared" si="15"/>
        <v>0</v>
      </c>
      <c r="OE9" s="99">
        <f t="shared" si="15"/>
        <v>0</v>
      </c>
      <c r="OF9" s="99">
        <f t="shared" si="15"/>
        <v>0</v>
      </c>
      <c r="OG9" s="99">
        <f t="shared" si="15"/>
        <v>0</v>
      </c>
      <c r="OH9" s="99">
        <f t="shared" si="15"/>
        <v>0</v>
      </c>
      <c r="OI9" s="99">
        <f t="shared" si="15"/>
        <v>0</v>
      </c>
      <c r="OJ9" s="99">
        <f t="shared" si="15"/>
        <v>0</v>
      </c>
      <c r="OK9" s="99">
        <f t="shared" si="15"/>
        <v>0</v>
      </c>
      <c r="OL9" s="99">
        <f t="shared" si="15"/>
        <v>0</v>
      </c>
      <c r="OM9" s="99">
        <f t="shared" si="15"/>
        <v>0</v>
      </c>
      <c r="ON9" s="99">
        <f t="shared" si="15"/>
        <v>0</v>
      </c>
      <c r="OO9" s="99">
        <f t="shared" si="15"/>
        <v>0</v>
      </c>
      <c r="OP9" s="99">
        <f t="shared" si="15"/>
        <v>0</v>
      </c>
      <c r="OQ9" s="99">
        <f t="shared" si="15"/>
        <v>0</v>
      </c>
      <c r="OR9" s="99">
        <f t="shared" si="15"/>
        <v>0</v>
      </c>
      <c r="OS9" s="99">
        <f t="shared" si="15"/>
        <v>0</v>
      </c>
      <c r="OT9" s="99">
        <f t="shared" si="15"/>
        <v>0</v>
      </c>
      <c r="OU9" s="99">
        <f t="shared" si="15"/>
        <v>0</v>
      </c>
      <c r="OV9" s="99">
        <f t="shared" si="15"/>
        <v>0</v>
      </c>
      <c r="OW9" s="99">
        <f t="shared" si="15"/>
        <v>0</v>
      </c>
      <c r="OX9" s="99">
        <f t="shared" si="15"/>
        <v>0</v>
      </c>
      <c r="OY9" s="99">
        <f t="shared" si="15"/>
        <v>0</v>
      </c>
      <c r="OZ9" s="99">
        <f t="shared" ref="OZ9:PH9" si="16">IF(AND($D$21&gt;0,$D$22&gt;0),IF(AND(HG4&gt;$D$21,OR(HG4&lt;$D$22,HG4=$D$22)),OZ4,0),"")</f>
        <v>0</v>
      </c>
      <c r="PA9" s="99">
        <f t="shared" si="16"/>
        <v>0</v>
      </c>
      <c r="PB9" s="99">
        <f t="shared" si="16"/>
        <v>0</v>
      </c>
      <c r="PC9" s="99">
        <f t="shared" si="16"/>
        <v>0</v>
      </c>
      <c r="PD9" s="99">
        <f t="shared" si="16"/>
        <v>0</v>
      </c>
      <c r="PE9" s="99">
        <f t="shared" si="16"/>
        <v>0</v>
      </c>
      <c r="PF9" s="99">
        <f t="shared" si="16"/>
        <v>0</v>
      </c>
      <c r="PG9" s="99">
        <f t="shared" si="16"/>
        <v>0</v>
      </c>
      <c r="PH9" s="99">
        <f t="shared" si="16"/>
        <v>0</v>
      </c>
    </row>
    <row r="10" spans="1:425" ht="18.5" customHeight="1">
      <c r="A10" s="164" t="s">
        <v>633</v>
      </c>
      <c r="B10" s="156">
        <v>45749</v>
      </c>
      <c r="C10" s="158" t="s">
        <v>640</v>
      </c>
      <c r="D10" s="165">
        <f>(B10-$G$7)+1</f>
        <v>92</v>
      </c>
      <c r="G10" s="182">
        <v>1.25</v>
      </c>
      <c r="H10" s="3"/>
      <c r="I10" s="3"/>
      <c r="J10" s="3"/>
      <c r="K10" s="3"/>
      <c r="L10" s="3"/>
      <c r="M10" s="3"/>
      <c r="N10" s="3"/>
      <c r="O10" s="3"/>
      <c r="P10" s="3"/>
      <c r="Q10" s="3"/>
      <c r="R10" s="3"/>
      <c r="S10" s="3"/>
      <c r="T10" s="3"/>
      <c r="U10" s="3"/>
      <c r="HP10" s="99">
        <f t="shared" ref="HP10:KA10" si="17">IF(AND($D$21&gt;0,$D$22&gt;0),IF(AND(W4&gt;$D$22),HP4,0),"")</f>
        <v>0</v>
      </c>
      <c r="HQ10" s="99">
        <f t="shared" si="17"/>
        <v>0</v>
      </c>
      <c r="HR10" s="99">
        <f t="shared" si="17"/>
        <v>0</v>
      </c>
      <c r="HS10" s="99">
        <f t="shared" si="17"/>
        <v>0</v>
      </c>
      <c r="HT10" s="99">
        <f t="shared" si="17"/>
        <v>0</v>
      </c>
      <c r="HU10" s="99">
        <f t="shared" si="17"/>
        <v>0</v>
      </c>
      <c r="HV10" s="99">
        <f t="shared" si="17"/>
        <v>0</v>
      </c>
      <c r="HW10" s="99">
        <f t="shared" si="17"/>
        <v>0</v>
      </c>
      <c r="HX10" s="99">
        <f t="shared" si="17"/>
        <v>0</v>
      </c>
      <c r="HY10" s="99">
        <f t="shared" si="17"/>
        <v>0</v>
      </c>
      <c r="HZ10" s="99">
        <f t="shared" si="17"/>
        <v>0</v>
      </c>
      <c r="IA10" s="99">
        <f t="shared" si="17"/>
        <v>0</v>
      </c>
      <c r="IB10" s="99">
        <f t="shared" si="17"/>
        <v>0</v>
      </c>
      <c r="IC10" s="99">
        <f t="shared" si="17"/>
        <v>0</v>
      </c>
      <c r="ID10" s="99">
        <f t="shared" si="17"/>
        <v>0</v>
      </c>
      <c r="IE10" s="99">
        <f t="shared" si="17"/>
        <v>0</v>
      </c>
      <c r="IF10" s="99">
        <f t="shared" si="17"/>
        <v>0</v>
      </c>
      <c r="IG10" s="99">
        <f t="shared" si="17"/>
        <v>0</v>
      </c>
      <c r="IH10" s="99">
        <f t="shared" si="17"/>
        <v>0</v>
      </c>
      <c r="II10" s="99">
        <f t="shared" si="17"/>
        <v>0</v>
      </c>
      <c r="IJ10" s="99">
        <f t="shared" si="17"/>
        <v>0</v>
      </c>
      <c r="IK10" s="99">
        <f t="shared" si="17"/>
        <v>0</v>
      </c>
      <c r="IL10" s="99">
        <f t="shared" si="17"/>
        <v>0</v>
      </c>
      <c r="IM10" s="99">
        <f t="shared" si="17"/>
        <v>0</v>
      </c>
      <c r="IN10" s="99">
        <f t="shared" si="17"/>
        <v>0</v>
      </c>
      <c r="IO10" s="99">
        <f t="shared" si="17"/>
        <v>0</v>
      </c>
      <c r="IP10" s="99">
        <f t="shared" si="17"/>
        <v>0</v>
      </c>
      <c r="IQ10" s="99">
        <f t="shared" si="17"/>
        <v>0</v>
      </c>
      <c r="IR10" s="99">
        <f t="shared" si="17"/>
        <v>0</v>
      </c>
      <c r="IS10" s="99">
        <f t="shared" si="17"/>
        <v>0</v>
      </c>
      <c r="IT10" s="99">
        <f t="shared" si="17"/>
        <v>0</v>
      </c>
      <c r="IU10" s="99">
        <f t="shared" si="17"/>
        <v>0</v>
      </c>
      <c r="IV10" s="99">
        <f t="shared" si="17"/>
        <v>0</v>
      </c>
      <c r="IW10" s="99">
        <f t="shared" si="17"/>
        <v>0</v>
      </c>
      <c r="IX10" s="99">
        <f t="shared" si="17"/>
        <v>0</v>
      </c>
      <c r="IY10" s="99">
        <f t="shared" si="17"/>
        <v>0</v>
      </c>
      <c r="IZ10" s="99">
        <f t="shared" si="17"/>
        <v>0</v>
      </c>
      <c r="JA10" s="99">
        <f t="shared" si="17"/>
        <v>0</v>
      </c>
      <c r="JB10" s="99">
        <f t="shared" si="17"/>
        <v>0</v>
      </c>
      <c r="JC10" s="99">
        <f t="shared" si="17"/>
        <v>0</v>
      </c>
      <c r="JD10" s="99">
        <f t="shared" si="17"/>
        <v>0</v>
      </c>
      <c r="JE10" s="99">
        <f t="shared" si="17"/>
        <v>0</v>
      </c>
      <c r="JF10" s="99">
        <f t="shared" si="17"/>
        <v>0</v>
      </c>
      <c r="JG10" s="99">
        <f t="shared" si="17"/>
        <v>0</v>
      </c>
      <c r="JH10" s="99">
        <f t="shared" si="17"/>
        <v>0</v>
      </c>
      <c r="JI10" s="99">
        <f t="shared" si="17"/>
        <v>0</v>
      </c>
      <c r="JJ10" s="99">
        <f t="shared" si="17"/>
        <v>0</v>
      </c>
      <c r="JK10" s="99">
        <f t="shared" si="17"/>
        <v>0</v>
      </c>
      <c r="JL10" s="99">
        <f t="shared" si="17"/>
        <v>0</v>
      </c>
      <c r="JM10" s="99">
        <f t="shared" si="17"/>
        <v>0</v>
      </c>
      <c r="JN10" s="99">
        <f t="shared" si="17"/>
        <v>0</v>
      </c>
      <c r="JO10" s="99">
        <f t="shared" si="17"/>
        <v>0</v>
      </c>
      <c r="JP10" s="99">
        <f t="shared" si="17"/>
        <v>0</v>
      </c>
      <c r="JQ10" s="99">
        <f t="shared" si="17"/>
        <v>0</v>
      </c>
      <c r="JR10" s="99">
        <f t="shared" si="17"/>
        <v>0</v>
      </c>
      <c r="JS10" s="99">
        <f t="shared" si="17"/>
        <v>0</v>
      </c>
      <c r="JT10" s="99">
        <f t="shared" si="17"/>
        <v>0</v>
      </c>
      <c r="JU10" s="99">
        <f t="shared" si="17"/>
        <v>0</v>
      </c>
      <c r="JV10" s="99">
        <f t="shared" si="17"/>
        <v>0</v>
      </c>
      <c r="JW10" s="99">
        <f t="shared" si="17"/>
        <v>0</v>
      </c>
      <c r="JX10" s="99">
        <f t="shared" si="17"/>
        <v>0</v>
      </c>
      <c r="JY10" s="99">
        <f t="shared" si="17"/>
        <v>0</v>
      </c>
      <c r="JZ10" s="99">
        <f t="shared" si="17"/>
        <v>0</v>
      </c>
      <c r="KA10" s="99">
        <f t="shared" si="17"/>
        <v>0</v>
      </c>
      <c r="KB10" s="99">
        <f t="shared" ref="KB10:MM10" si="18">IF(AND($D$21&gt;0,$D$22&gt;0),IF(AND(CI4&gt;$D$22),KB4,0),"")</f>
        <v>0</v>
      </c>
      <c r="KC10" s="99">
        <f t="shared" si="18"/>
        <v>0</v>
      </c>
      <c r="KD10" s="99">
        <f t="shared" si="18"/>
        <v>0</v>
      </c>
      <c r="KE10" s="99">
        <f t="shared" si="18"/>
        <v>0</v>
      </c>
      <c r="KF10" s="99">
        <f t="shared" si="18"/>
        <v>0</v>
      </c>
      <c r="KG10" s="99">
        <f t="shared" si="18"/>
        <v>0</v>
      </c>
      <c r="KH10" s="99">
        <f t="shared" si="18"/>
        <v>0</v>
      </c>
      <c r="KI10" s="99">
        <f t="shared" si="18"/>
        <v>0</v>
      </c>
      <c r="KJ10" s="99">
        <f t="shared" si="18"/>
        <v>0</v>
      </c>
      <c r="KK10" s="99">
        <f t="shared" si="18"/>
        <v>0</v>
      </c>
      <c r="KL10" s="99">
        <f t="shared" si="18"/>
        <v>0</v>
      </c>
      <c r="KM10" s="99">
        <f t="shared" si="18"/>
        <v>0</v>
      </c>
      <c r="KN10" s="99">
        <f t="shared" si="18"/>
        <v>0</v>
      </c>
      <c r="KO10" s="99">
        <f t="shared" si="18"/>
        <v>0</v>
      </c>
      <c r="KP10" s="99">
        <f t="shared" si="18"/>
        <v>0</v>
      </c>
      <c r="KQ10" s="99">
        <f t="shared" si="18"/>
        <v>0</v>
      </c>
      <c r="KR10" s="99">
        <f t="shared" si="18"/>
        <v>0</v>
      </c>
      <c r="KS10" s="99">
        <f t="shared" si="18"/>
        <v>0</v>
      </c>
      <c r="KT10" s="99">
        <f t="shared" si="18"/>
        <v>0</v>
      </c>
      <c r="KU10" s="99">
        <f t="shared" si="18"/>
        <v>0</v>
      </c>
      <c r="KV10" s="99">
        <f t="shared" si="18"/>
        <v>0</v>
      </c>
      <c r="KW10" s="99">
        <f t="shared" si="18"/>
        <v>0</v>
      </c>
      <c r="KX10" s="99">
        <f t="shared" si="18"/>
        <v>0</v>
      </c>
      <c r="KY10" s="99">
        <f t="shared" si="18"/>
        <v>0</v>
      </c>
      <c r="KZ10" s="99">
        <f t="shared" si="18"/>
        <v>0</v>
      </c>
      <c r="LA10" s="99">
        <f t="shared" si="18"/>
        <v>0</v>
      </c>
      <c r="LB10" s="99">
        <f t="shared" si="18"/>
        <v>0</v>
      </c>
      <c r="LC10" s="99">
        <f t="shared" si="18"/>
        <v>0</v>
      </c>
      <c r="LD10" s="99">
        <f t="shared" si="18"/>
        <v>0</v>
      </c>
      <c r="LE10" s="99">
        <f t="shared" si="18"/>
        <v>0</v>
      </c>
      <c r="LF10" s="99">
        <f t="shared" si="18"/>
        <v>0</v>
      </c>
      <c r="LG10" s="99">
        <f t="shared" si="18"/>
        <v>0</v>
      </c>
      <c r="LH10" s="99">
        <f t="shared" si="18"/>
        <v>0</v>
      </c>
      <c r="LI10" s="99">
        <f t="shared" si="18"/>
        <v>0</v>
      </c>
      <c r="LJ10" s="99">
        <f t="shared" si="18"/>
        <v>0</v>
      </c>
      <c r="LK10" s="99">
        <f t="shared" si="18"/>
        <v>0</v>
      </c>
      <c r="LL10" s="99">
        <f t="shared" si="18"/>
        <v>0</v>
      </c>
      <c r="LM10" s="99">
        <f t="shared" si="18"/>
        <v>0</v>
      </c>
      <c r="LN10" s="99">
        <f t="shared" si="18"/>
        <v>0</v>
      </c>
      <c r="LO10" s="99">
        <f t="shared" si="18"/>
        <v>0</v>
      </c>
      <c r="LP10" s="99">
        <f t="shared" si="18"/>
        <v>0</v>
      </c>
      <c r="LQ10" s="99">
        <f t="shared" si="18"/>
        <v>0</v>
      </c>
      <c r="LR10" s="99">
        <f t="shared" si="18"/>
        <v>0</v>
      </c>
      <c r="LS10" s="99">
        <f t="shared" si="18"/>
        <v>0</v>
      </c>
      <c r="LT10" s="99">
        <f t="shared" si="18"/>
        <v>0</v>
      </c>
      <c r="LU10" s="99">
        <f t="shared" si="18"/>
        <v>0</v>
      </c>
      <c r="LV10" s="99">
        <f t="shared" si="18"/>
        <v>0</v>
      </c>
      <c r="LW10" s="99">
        <f t="shared" si="18"/>
        <v>0</v>
      </c>
      <c r="LX10" s="99">
        <f t="shared" si="18"/>
        <v>5.2413982038735846E-2</v>
      </c>
      <c r="LY10" s="99">
        <f t="shared" si="18"/>
        <v>5.1393750043460015E-2</v>
      </c>
      <c r="LZ10" s="99">
        <f t="shared" si="18"/>
        <v>5.0322460234890898E-2</v>
      </c>
      <c r="MA10" s="99">
        <f t="shared" si="18"/>
        <v>4.9204160638591649E-2</v>
      </c>
      <c r="MB10" s="99">
        <f t="shared" si="18"/>
        <v>4.8043008438367306E-2</v>
      </c>
      <c r="MC10" s="99">
        <f t="shared" si="18"/>
        <v>4.6843244419681733E-2</v>
      </c>
      <c r="MD10" s="99">
        <f t="shared" si="18"/>
        <v>4.5609167417115438E-2</v>
      </c>
      <c r="ME10" s="99">
        <f t="shared" si="18"/>
        <v>4.4345108978794123E-2</v>
      </c>
      <c r="MF10" s="99">
        <f t="shared" si="18"/>
        <v>4.3055408453441683E-2</v>
      </c>
      <c r="MG10" s="99">
        <f t="shared" si="18"/>
        <v>4.1744388696333741E-2</v>
      </c>
      <c r="MH10" s="99">
        <f t="shared" si="18"/>
        <v>4.0416332579118759E-2</v>
      </c>
      <c r="MI10" s="99">
        <f t="shared" si="18"/>
        <v>3.9075460475427683E-2</v>
      </c>
      <c r="MJ10" s="99">
        <f t="shared" si="18"/>
        <v>3.7725908879621121E-2</v>
      </c>
      <c r="MK10" s="99">
        <f t="shared" si="18"/>
        <v>3.6371710300151891E-2</v>
      </c>
      <c r="ML10" s="99">
        <f t="shared" si="18"/>
        <v>3.5016774552089451E-2</v>
      </c>
      <c r="MM10" s="99">
        <f t="shared" si="18"/>
        <v>3.3664871555605123E-2</v>
      </c>
      <c r="MN10" s="99">
        <f t="shared" ref="MN10:OY10" si="19">IF(AND($D$21&gt;0,$D$22&gt;0),IF(AND(EU4&gt;$D$22),MN4,0),"")</f>
        <v>3.2319615728901671E-2</v>
      </c>
      <c r="MO10" s="99">
        <f t="shared" si="19"/>
        <v>3.098445204543623E-2</v>
      </c>
      <c r="MP10" s="99">
        <f t="shared" si="19"/>
        <v>2.9662643806572759E-2</v>
      </c>
      <c r="MQ10" s="99">
        <f t="shared" si="19"/>
        <v>2.8357262162246408E-2</v>
      </c>
      <c r="MR10" s="99">
        <f t="shared" si="19"/>
        <v>2.7071177394049222E-2</v>
      </c>
      <c r="MS10" s="99">
        <f t="shared" si="19"/>
        <v>2.5807051957566031E-2</v>
      </c>
      <c r="MT10" s="99">
        <f t="shared" si="19"/>
        <v>2.4567335263992088E-2</v>
      </c>
      <c r="MU10" s="99">
        <f t="shared" si="19"/>
        <v>2.3354260165225332E-2</v>
      </c>
      <c r="MV10" s="99">
        <f t="shared" si="19"/>
        <v>2.216984109189854E-2</v>
      </c>
      <c r="MW10" s="99">
        <f t="shared" si="19"/>
        <v>2.1015873780330537E-2</v>
      </c>
      <c r="MX10" s="99">
        <f t="shared" si="19"/>
        <v>1.989393651223988E-2</v>
      </c>
      <c r="MY10" s="99">
        <f t="shared" si="19"/>
        <v>1.8805392780361429E-2</v>
      </c>
      <c r="MZ10" s="99">
        <f t="shared" si="19"/>
        <v>1.7751395283898238E-2</v>
      </c>
      <c r="NA10" s="99">
        <f t="shared" si="19"/>
        <v>1.6732891150062837E-2</v>
      </c>
      <c r="NB10" s="99">
        <f t="shared" si="19"/>
        <v>1.5750628271829079E-2</v>
      </c>
      <c r="NC10" s="99">
        <f t="shared" si="19"/>
        <v>1.4805162647418831E-2</v>
      </c>
      <c r="ND10" s="99">
        <f t="shared" si="19"/>
        <v>1.3896866603959465E-2</v>
      </c>
      <c r="NE10" s="99">
        <f t="shared" si="19"/>
        <v>1.3025937786120045E-2</v>
      </c>
      <c r="NF10" s="99">
        <f t="shared" si="19"/>
        <v>1.2192408790302358E-2</v>
      </c>
      <c r="NG10" s="99">
        <f t="shared" si="19"/>
        <v>1.1396157326046704E-2</v>
      </c>
      <c r="NH10" s="99">
        <f t="shared" si="19"/>
        <v>1.0636916788619522E-2</v>
      </c>
      <c r="NI10" s="99">
        <f t="shared" si="19"/>
        <v>9.9142871301755569E-3</v>
      </c>
      <c r="NJ10" s="99">
        <f t="shared" si="19"/>
        <v>9.2277459213194676E-3</v>
      </c>
      <c r="NK10" s="99">
        <f t="shared" si="19"/>
        <v>8.5766595002104949E-3</v>
      </c>
      <c r="NL10" s="99">
        <f t="shared" si="19"/>
        <v>7.9602941124365025E-3</v>
      </c>
      <c r="NM10" s="99">
        <f t="shared" si="19"/>
        <v>7.3778269516038796E-3</v>
      </c>
      <c r="NN10" s="99">
        <f t="shared" si="19"/>
        <v>6.828357017822361E-3</v>
      </c>
      <c r="NO10" s="99">
        <f t="shared" si="19"/>
        <v>6.3109157188843612E-3</v>
      </c>
      <c r="NP10" s="99">
        <f t="shared" si="19"/>
        <v>5.8244771468267025E-3</v>
      </c>
      <c r="NQ10" s="99">
        <f t="shared" si="19"/>
        <v>5.36796797060293E-3</v>
      </c>
      <c r="NR10" s="99">
        <f t="shared" si="19"/>
        <v>4.9402768936779168E-3</v>
      </c>
      <c r="NS10" s="99">
        <f t="shared" si="19"/>
        <v>4.540263633381233E-3</v>
      </c>
      <c r="NT10" s="99">
        <f t="shared" si="19"/>
        <v>4.1667673867290681E-3</v>
      </c>
      <c r="NU10" s="99">
        <f t="shared" si="19"/>
        <v>3.8186147550623517E-3</v>
      </c>
      <c r="NV10" s="99">
        <f t="shared" si="19"/>
        <v>3.494627107176677E-3</v>
      </c>
      <c r="NW10" s="99">
        <f t="shared" si="19"/>
        <v>3.193627367574294E-3</v>
      </c>
      <c r="NX10" s="99">
        <f t="shared" si="19"/>
        <v>2.9144462229952887E-3</v>
      </c>
      <c r="NY10" s="99">
        <f t="shared" si="19"/>
        <v>2.6559277464408238E-3</v>
      </c>
      <c r="NZ10" s="99">
        <f t="shared" si="19"/>
        <v>2.4169344434522384E-3</v>
      </c>
      <c r="OA10" s="99">
        <f t="shared" si="19"/>
        <v>2.196351730431791E-3</v>
      </c>
      <c r="OB10" s="99">
        <f t="shared" si="19"/>
        <v>1.9930918592690064E-3</v>
      </c>
      <c r="OC10" s="99">
        <f t="shared" si="19"/>
        <v>1.8060973064648539E-3</v>
      </c>
      <c r="OD10" s="99">
        <f t="shared" si="19"/>
        <v>1.6343436483257144E-3</v>
      </c>
      <c r="OE10" s="99">
        <f t="shared" si="19"/>
        <v>1.4768419466394634E-3</v>
      </c>
      <c r="OF10" s="99">
        <f t="shared" si="19"/>
        <v>1.3326406715621218E-3</v>
      </c>
      <c r="OG10" s="99">
        <f t="shared" si="19"/>
        <v>1.2008271902562912E-3</v>
      </c>
      <c r="OH10" s="99">
        <f t="shared" si="19"/>
        <v>1.0805288511577668E-3</v>
      </c>
      <c r="OI10" s="99">
        <f t="shared" si="19"/>
        <v>9.7091369463385814E-4</v>
      </c>
      <c r="OJ10" s="99">
        <f t="shared" si="19"/>
        <v>8.7119082126877628E-4</v>
      </c>
      <c r="OK10" s="99">
        <f t="shared" si="19"/>
        <v>7.806104491031744E-4</v>
      </c>
      <c r="OL10" s="99">
        <f t="shared" si="19"/>
        <v>6.9846369090307669E-4</v>
      </c>
      <c r="OM10" s="99">
        <f t="shared" si="19"/>
        <v>6.2408208197586694E-4</v>
      </c>
      <c r="ON10" s="99">
        <f t="shared" si="19"/>
        <v>5.5683688822532077E-4</v>
      </c>
      <c r="OO10" s="99">
        <f t="shared" si="19"/>
        <v>4.9613822308167935E-4</v>
      </c>
      <c r="OP10" s="99">
        <f t="shared" si="19"/>
        <v>4.4143400069298429E-4</v>
      </c>
      <c r="OQ10" s="99">
        <f t="shared" si="19"/>
        <v>3.9220875135592031E-4</v>
      </c>
      <c r="OR10" s="99">
        <f t="shared" si="19"/>
        <v>3.4798232363191233E-4</v>
      </c>
      <c r="OS10" s="99">
        <f t="shared" si="19"/>
        <v>3.0830849596904836E-4</v>
      </c>
      <c r="OT10" s="99">
        <f t="shared" si="19"/>
        <v>2.7277351896205185E-4</v>
      </c>
      <c r="OU10" s="99">
        <f t="shared" si="19"/>
        <v>2.4099460765821798E-4</v>
      </c>
      <c r="OV10" s="99">
        <f t="shared" si="19"/>
        <v>2.1261840158147367E-4</v>
      </c>
      <c r="OW10" s="99">
        <f t="shared" si="19"/>
        <v>1.8731940842155325E-4</v>
      </c>
      <c r="OX10" s="99">
        <f t="shared" si="19"/>
        <v>1.6479844564000457E-4</v>
      </c>
      <c r="OY10" s="99">
        <f t="shared" si="19"/>
        <v>1.4478109259607013E-4</v>
      </c>
      <c r="OZ10" s="99">
        <f t="shared" ref="OZ10:PH10" si="20">IF(AND($D$21&gt;0,$D$22&gt;0),IF(AND(HG4&gt;$D$22),OZ4,0),"")</f>
        <v>1.2701616420758596E-4</v>
      </c>
      <c r="PA10" s="99">
        <f t="shared" si="20"/>
        <v>1.1127421564656802E-4</v>
      </c>
      <c r="PB10" s="99">
        <f t="shared" si="20"/>
        <v>9.734608613548019E-5</v>
      </c>
      <c r="PC10" s="99">
        <f t="shared" si="20"/>
        <v>8.5041488565411097E-5</v>
      </c>
      <c r="PD10" s="99">
        <f t="shared" si="20"/>
        <v>7.4187650406650941E-5</v>
      </c>
      <c r="PE10" s="99">
        <f t="shared" si="20"/>
        <v>6.4628010228681148E-5</v>
      </c>
      <c r="PF10" s="99">
        <f t="shared" si="20"/>
        <v>5.622097309192882E-5</v>
      </c>
      <c r="PG10" s="99">
        <f t="shared" si="20"/>
        <v>4.8838727117856758E-5</v>
      </c>
      <c r="PH10" s="99">
        <f t="shared" si="20"/>
        <v>4.2366122685818326E-5</v>
      </c>
    </row>
    <row r="11" spans="1:425" ht="18.5" customHeight="1" thickBot="1">
      <c r="A11" s="166" t="s">
        <v>634</v>
      </c>
      <c r="B11" s="167">
        <f>(B10-B9)+1</f>
        <v>3</v>
      </c>
      <c r="C11" s="168"/>
      <c r="D11" s="169"/>
      <c r="H11" s="3"/>
      <c r="I11" s="3"/>
      <c r="J11" s="3"/>
      <c r="K11" s="3"/>
      <c r="L11" s="3"/>
      <c r="M11" s="3"/>
      <c r="N11" s="3"/>
      <c r="O11" s="3"/>
      <c r="P11" s="3"/>
      <c r="Q11" s="3"/>
      <c r="R11" s="3"/>
      <c r="S11" s="3"/>
      <c r="T11" s="3"/>
      <c r="U11" s="3"/>
      <c r="HP11" s="116">
        <f>MAX(HP8:HP10)</f>
        <v>6.3885251524990522E-5</v>
      </c>
      <c r="HQ11" s="116">
        <f t="shared" ref="HQ11:KB11" si="21">MAX(HQ8:HQ10)</f>
        <v>7.3343631061639596E-5</v>
      </c>
      <c r="HR11" s="116">
        <f t="shared" si="21"/>
        <v>8.4083854095758868E-5</v>
      </c>
      <c r="HS11" s="116">
        <f t="shared" si="21"/>
        <v>9.6261188144214474E-5</v>
      </c>
      <c r="HT11" s="116">
        <f t="shared" si="21"/>
        <v>1.1004700581927765E-4</v>
      </c>
      <c r="HU11" s="116">
        <f t="shared" si="21"/>
        <v>1.2563008351342315E-4</v>
      </c>
      <c r="HV11" s="116">
        <f t="shared" si="21"/>
        <v>1.4321795600431974E-4</v>
      </c>
      <c r="HW11" s="116">
        <f t="shared" si="21"/>
        <v>1.6303832275466965E-4</v>
      </c>
      <c r="HX11" s="116">
        <f t="shared" si="21"/>
        <v>1.8534050053627964E-4</v>
      </c>
      <c r="HY11" s="116">
        <f t="shared" si="21"/>
        <v>2.1039691576500783E-4</v>
      </c>
      <c r="HZ11" s="116">
        <f t="shared" si="21"/>
        <v>2.3850462859613874E-4</v>
      </c>
      <c r="IA11" s="116">
        <f t="shared" si="21"/>
        <v>2.6998687940322461E-4</v>
      </c>
      <c r="IB11" s="116">
        <f t="shared" si="21"/>
        <v>3.0519464675445306E-4</v>
      </c>
      <c r="IC11" s="116">
        <f t="shared" si="21"/>
        <v>3.4450820441831294E-4</v>
      </c>
      <c r="ID11" s="116">
        <f t="shared" si="21"/>
        <v>3.88338663286234E-4</v>
      </c>
      <c r="IE11" s="116">
        <f t="shared" si="21"/>
        <v>4.371294824078646E-4</v>
      </c>
      <c r="IF11" s="116">
        <f t="shared" si="21"/>
        <v>4.9135793161127856E-4</v>
      </c>
      <c r="IG11" s="116">
        <f t="shared" si="21"/>
        <v>5.5153648644473631E-4</v>
      </c>
      <c r="IH11" s="116">
        <f t="shared" si="21"/>
        <v>6.1821413445043881E-4</v>
      </c>
      <c r="II11" s="116">
        <f t="shared" si="21"/>
        <v>6.9197757008838511E-4</v>
      </c>
      <c r="IJ11" s="116">
        <f t="shared" si="21"/>
        <v>7.7345225399689957E-4</v>
      </c>
      <c r="IK11" s="116">
        <f t="shared" si="21"/>
        <v>8.6330331073498641E-4</v>
      </c>
      <c r="IL11" s="116">
        <f t="shared" si="21"/>
        <v>9.622362377320504E-4</v>
      </c>
      <c r="IM11" s="116">
        <f t="shared" si="21"/>
        <v>1.0709973969062574E-3</v>
      </c>
      <c r="IN11" s="116">
        <f t="shared" si="21"/>
        <v>1.1903742593392197E-3</v>
      </c>
      <c r="IO11" s="116">
        <f t="shared" si="21"/>
        <v>1.3211953725484815E-3</v>
      </c>
      <c r="IP11" s="116">
        <f t="shared" si="21"/>
        <v>1.4643300193178264E-3</v>
      </c>
      <c r="IQ11" s="116">
        <f t="shared" si="21"/>
        <v>1.6206875367667285E-3</v>
      </c>
      <c r="IR11" s="116">
        <f t="shared" si="21"/>
        <v>1.7912162644019276E-3</v>
      </c>
      <c r="IS11" s="116">
        <f t="shared" si="21"/>
        <v>1.9769020903328519E-3</v>
      </c>
      <c r="IT11" s="116">
        <f t="shared" si="21"/>
        <v>2.1787665656839489E-3</v>
      </c>
      <c r="IU11" s="116">
        <f t="shared" si="21"/>
        <v>2.3978645585335146E-3</v>
      </c>
      <c r="IV11" s="116">
        <f t="shared" si="21"/>
        <v>2.6352814204806617E-3</v>
      </c>
      <c r="IW11" s="116">
        <f t="shared" si="21"/>
        <v>2.8921296412153024E-3</v>
      </c>
      <c r="IX11" s="116">
        <f t="shared" si="21"/>
        <v>3.169544969262042E-3</v>
      </c>
      <c r="IY11" s="116">
        <f t="shared" si="21"/>
        <v>3.4686819804032568E-3</v>
      </c>
      <c r="IZ11" s="116">
        <f t="shared" si="21"/>
        <v>3.7907090791690226E-3</v>
      </c>
      <c r="JA11" s="116">
        <f t="shared" si="21"/>
        <v>4.1368029232139629E-3</v>
      </c>
      <c r="JB11" s="116">
        <f t="shared" si="21"/>
        <v>4.5081422653783215E-3</v>
      </c>
      <c r="JC11" s="116">
        <f t="shared" si="21"/>
        <v>4.9059012137380922E-3</v>
      </c>
      <c r="JD11" s="116">
        <f t="shared" si="21"/>
        <v>5.3312419159639007E-3</v>
      </c>
      <c r="JE11" s="116">
        <f t="shared" si="21"/>
        <v>5.7853066807975317E-3</v>
      </c>
      <c r="JF11" s="116">
        <f t="shared" si="21"/>
        <v>6.2692095563757896E-3</v>
      </c>
      <c r="JG11" s="116">
        <f t="shared" si="21"/>
        <v>6.7840273924306338E-3</v>
      </c>
      <c r="JH11" s="116">
        <f t="shared" si="21"/>
        <v>7.3307904210092451E-3</v>
      </c>
      <c r="JI11" s="116">
        <f t="shared" si="21"/>
        <v>7.9104723982144423E-3</v>
      </c>
      <c r="JJ11" s="116">
        <f t="shared" si="21"/>
        <v>8.5239803574813349E-3</v>
      </c>
      <c r="JK11" s="116">
        <f t="shared" si="21"/>
        <v>9.1721440329887334E-3</v>
      </c>
      <c r="JL11" s="116">
        <f t="shared" si="21"/>
        <v>9.8557050198515728E-3</v>
      </c>
      <c r="JM11" s="116">
        <f t="shared" si="21"/>
        <v>1.0575305745646003E-2</v>
      </c>
      <c r="JN11" s="116">
        <f t="shared" si="21"/>
        <v>1.1331478335466204E-2</v>
      </c>
      <c r="JO11" s="116">
        <f t="shared" si="21"/>
        <v>1.2124633459981538E-2</v>
      </c>
      <c r="JP11" s="116">
        <f t="shared" si="21"/>
        <v>1.2955049262730325E-2</v>
      </c>
      <c r="JQ11" s="116">
        <f t="shared" si="21"/>
        <v>1.3822860469027217E-2</v>
      </c>
      <c r="JR11" s="116">
        <f t="shared" si="21"/>
        <v>1.4728047784248181E-2</v>
      </c>
      <c r="JS11" s="116">
        <f t="shared" si="21"/>
        <v>1.5670427693767901E-2</v>
      </c>
      <c r="JT11" s="116">
        <f t="shared" si="21"/>
        <v>1.6649642780338252E-2</v>
      </c>
      <c r="JU11" s="116">
        <f t="shared" si="21"/>
        <v>1.7665152677101052E-2</v>
      </c>
      <c r="JV11" s="116">
        <f t="shared" si="21"/>
        <v>1.8716225775617632E-2</v>
      </c>
      <c r="JW11" s="116">
        <f t="shared" si="21"/>
        <v>1.9801931808179029E-2</v>
      </c>
      <c r="JX11" s="116">
        <f t="shared" si="21"/>
        <v>2.0921135422151405E-2</v>
      </c>
      <c r="JY11" s="116">
        <f t="shared" si="21"/>
        <v>2.207249086114697E-2</v>
      </c>
      <c r="JZ11" s="116">
        <f t="shared" si="21"/>
        <v>2.3254437863340686E-2</v>
      </c>
      <c r="KA11" s="116">
        <f t="shared" si="21"/>
        <v>2.4465198881248679E-2</v>
      </c>
      <c r="KB11" s="116">
        <f t="shared" si="21"/>
        <v>2.5702777719734834E-2</v>
      </c>
      <c r="KC11" s="116">
        <f t="shared" ref="KC11:MN11" si="22">MAX(KC8:KC10)</f>
        <v>2.6964959679929915E-2</v>
      </c>
      <c r="KD11" s="116">
        <f t="shared" si="22"/>
        <v>2.8249313286167758E-2</v>
      </c>
      <c r="KE11" s="116">
        <f t="shared" si="22"/>
        <v>2.9553193661023304E-2</v>
      </c>
      <c r="KF11" s="116">
        <f t="shared" si="22"/>
        <v>3.0873747600160196E-2</v>
      </c>
      <c r="KG11" s="116">
        <f t="shared" si="22"/>
        <v>3.2207920384066925E-2</v>
      </c>
      <c r="KH11" s="116">
        <f t="shared" si="22"/>
        <v>3.3552464348008362E-2</v>
      </c>
      <c r="KI11" s="116">
        <f t="shared" si="22"/>
        <v>3.490394921479642E-2</v>
      </c>
      <c r="KJ11" s="116">
        <f t="shared" si="22"/>
        <v>3.6258774177460616E-2</v>
      </c>
      <c r="KK11" s="116">
        <f t="shared" si="22"/>
        <v>3.7613181700768245E-2</v>
      </c>
      <c r="KL11" s="116">
        <f t="shared" si="22"/>
        <v>3.8963272992013263E-2</v>
      </c>
      <c r="KM11" s="116">
        <f t="shared" si="22"/>
        <v>4.0305025072784668E-2</v>
      </c>
      <c r="KN11" s="116">
        <f t="shared" si="22"/>
        <v>4.163430936477501E-2</v>
      </c>
      <c r="KO11" s="116">
        <f t="shared" si="22"/>
        <v>4.2946911684337861E-2</v>
      </c>
      <c r="KP11" s="116">
        <f t="shared" si="22"/>
        <v>4.4238553522699169E-2</v>
      </c>
      <c r="KQ11" s="116">
        <f t="shared" si="22"/>
        <v>4.5504914471718449E-2</v>
      </c>
      <c r="KR11" s="116">
        <f t="shared" si="22"/>
        <v>4.6741655639126772E-2</v>
      </c>
      <c r="KS11" s="116">
        <f t="shared" si="22"/>
        <v>4.7944443882480085E-2</v>
      </c>
      <c r="KT11" s="116">
        <f t="shared" si="22"/>
        <v>4.9108976677884025E-2</v>
      </c>
      <c r="KU11" s="116">
        <f t="shared" si="22"/>
        <v>5.023100742808561E-2</v>
      </c>
      <c r="KV11" s="116">
        <f t="shared" si="22"/>
        <v>5.1306371004981449E-2</v>
      </c>
      <c r="KW11" s="116">
        <f t="shared" si="22"/>
        <v>5.2331009314134765E-2</v>
      </c>
      <c r="KX11" s="116">
        <f t="shared" si="22"/>
        <v>5.3300996663672988E-2</v>
      </c>
      <c r="KY11" s="116">
        <f t="shared" si="22"/>
        <v>5.4212564717071698E-2</v>
      </c>
      <c r="KZ11" s="116">
        <f t="shared" si="22"/>
        <v>5.5062126808909748E-2</v>
      </c>
      <c r="LA11" s="116">
        <f t="shared" si="22"/>
        <v>5.5846301404759283E-2</v>
      </c>
      <c r="LB11" s="116">
        <f t="shared" si="22"/>
        <v>5.6561934490975331E-2</v>
      </c>
      <c r="LC11" s="116">
        <f t="shared" si="22"/>
        <v>5.7206120687257618E-2</v>
      </c>
      <c r="LD11" s="116">
        <f t="shared" si="22"/>
        <v>5.777622288442489E-2</v>
      </c>
      <c r="LE11" s="116">
        <f t="shared" si="22"/>
        <v>5.8269890221781334E-2</v>
      </c>
      <c r="LF11" s="116">
        <f t="shared" si="22"/>
        <v>5.8685074232648723E-2</v>
      </c>
      <c r="LG11" s="116">
        <f t="shared" si="22"/>
        <v>5.9020043002930386E-2</v>
      </c>
      <c r="LH11" s="116">
        <f t="shared" si="22"/>
        <v>5.9273393205781927E-2</v>
      </c>
      <c r="LI11" s="116">
        <f t="shared" si="22"/>
        <v>5.944405989537304E-2</v>
      </c>
      <c r="LJ11" s="116">
        <f t="shared" si="22"/>
        <v>5.9531323964097119E-2</v>
      </c>
      <c r="LK11" s="116">
        <f t="shared" si="22"/>
        <v>5.9534817190157026E-2</v>
      </c>
      <c r="LL11" s="116">
        <f t="shared" si="22"/>
        <v>5.9454524825948298E-2</v>
      </c>
      <c r="LM11" s="116">
        <f t="shared" si="22"/>
        <v>5.9290785701778856E-2</v>
      </c>
      <c r="LN11" s="116">
        <f t="shared" si="22"/>
        <v>5.9044289843904439E-2</v>
      </c>
      <c r="LO11" s="116">
        <f t="shared" si="22"/>
        <v>5.8716073630312046E-2</v>
      </c>
      <c r="LP11" s="116">
        <f t="shared" si="22"/>
        <v>5.8307512531840161E-2</v>
      </c>
      <c r="LQ11" s="116">
        <f t="shared" si="22"/>
        <v>5.7820311509780696E-2</v>
      </c>
      <c r="LR11" s="116">
        <f t="shared" si="22"/>
        <v>5.7256493163767158E-2</v>
      </c>
      <c r="LS11" s="116">
        <f t="shared" si="22"/>
        <v>5.6618383745235909E-2</v>
      </c>
      <c r="LT11" s="116">
        <f t="shared" si="22"/>
        <v>5.5908597171788629E-2</v>
      </c>
      <c r="LU11" s="116">
        <f t="shared" si="22"/>
        <v>5.5130017196142383E-2</v>
      </c>
      <c r="LV11" s="116">
        <f t="shared" si="22"/>
        <v>5.4285777899814334E-2</v>
      </c>
      <c r="LW11" s="116">
        <f t="shared" si="22"/>
        <v>5.3379242696062319E-2</v>
      </c>
      <c r="LX11" s="116">
        <f t="shared" si="22"/>
        <v>5.2413982038735846E-2</v>
      </c>
      <c r="LY11" s="116">
        <f t="shared" si="22"/>
        <v>5.1393750043460015E-2</v>
      </c>
      <c r="LZ11" s="116">
        <f t="shared" si="22"/>
        <v>5.0322460234890898E-2</v>
      </c>
      <c r="MA11" s="116">
        <f t="shared" si="22"/>
        <v>4.9204160638591649E-2</v>
      </c>
      <c r="MB11" s="116">
        <f t="shared" si="22"/>
        <v>4.8043008438367306E-2</v>
      </c>
      <c r="MC11" s="116">
        <f t="shared" si="22"/>
        <v>4.6843244419681733E-2</v>
      </c>
      <c r="MD11" s="116">
        <f t="shared" si="22"/>
        <v>4.5609167417115438E-2</v>
      </c>
      <c r="ME11" s="116">
        <f t="shared" si="22"/>
        <v>4.4345108978794123E-2</v>
      </c>
      <c r="MF11" s="116">
        <f t="shared" si="22"/>
        <v>4.3055408453441683E-2</v>
      </c>
      <c r="MG11" s="116">
        <f t="shared" si="22"/>
        <v>4.1744388696333741E-2</v>
      </c>
      <c r="MH11" s="116">
        <f t="shared" si="22"/>
        <v>4.0416332579118759E-2</v>
      </c>
      <c r="MI11" s="116">
        <f t="shared" si="22"/>
        <v>3.9075460475427683E-2</v>
      </c>
      <c r="MJ11" s="116">
        <f t="shared" si="22"/>
        <v>3.7725908879621121E-2</v>
      </c>
      <c r="MK11" s="116">
        <f t="shared" si="22"/>
        <v>3.6371710300151891E-2</v>
      </c>
      <c r="ML11" s="116">
        <f t="shared" si="22"/>
        <v>3.5016774552089451E-2</v>
      </c>
      <c r="MM11" s="116">
        <f t="shared" si="22"/>
        <v>3.3664871555605123E-2</v>
      </c>
      <c r="MN11" s="116">
        <f t="shared" si="22"/>
        <v>3.2319615728901671E-2</v>
      </c>
      <c r="MO11" s="116">
        <f t="shared" ref="MO11:OZ11" si="23">MAX(MO8:MO10)</f>
        <v>3.098445204543623E-2</v>
      </c>
      <c r="MP11" s="116">
        <f t="shared" si="23"/>
        <v>2.9662643806572759E-2</v>
      </c>
      <c r="MQ11" s="116">
        <f t="shared" si="23"/>
        <v>2.8357262162246408E-2</v>
      </c>
      <c r="MR11" s="116">
        <f t="shared" si="23"/>
        <v>2.7071177394049222E-2</v>
      </c>
      <c r="MS11" s="116">
        <f t="shared" si="23"/>
        <v>2.5807051957566031E-2</v>
      </c>
      <c r="MT11" s="116">
        <f t="shared" si="23"/>
        <v>2.4567335263992088E-2</v>
      </c>
      <c r="MU11" s="116">
        <f t="shared" si="23"/>
        <v>2.3354260165225332E-2</v>
      </c>
      <c r="MV11" s="116">
        <f t="shared" si="23"/>
        <v>2.216984109189854E-2</v>
      </c>
      <c r="MW11" s="116">
        <f t="shared" si="23"/>
        <v>2.1015873780330537E-2</v>
      </c>
      <c r="MX11" s="116">
        <f t="shared" si="23"/>
        <v>1.989393651223988E-2</v>
      </c>
      <c r="MY11" s="116">
        <f t="shared" si="23"/>
        <v>1.8805392780361429E-2</v>
      </c>
      <c r="MZ11" s="116">
        <f t="shared" si="23"/>
        <v>1.7751395283898238E-2</v>
      </c>
      <c r="NA11" s="116">
        <f t="shared" si="23"/>
        <v>1.6732891150062837E-2</v>
      </c>
      <c r="NB11" s="116">
        <f t="shared" si="23"/>
        <v>1.5750628271829079E-2</v>
      </c>
      <c r="NC11" s="116">
        <f t="shared" si="23"/>
        <v>1.4805162647418831E-2</v>
      </c>
      <c r="ND11" s="116">
        <f t="shared" si="23"/>
        <v>1.3896866603959465E-2</v>
      </c>
      <c r="NE11" s="116">
        <f t="shared" si="23"/>
        <v>1.3025937786120045E-2</v>
      </c>
      <c r="NF11" s="116">
        <f t="shared" si="23"/>
        <v>1.2192408790302358E-2</v>
      </c>
      <c r="NG11" s="116">
        <f t="shared" si="23"/>
        <v>1.1396157326046704E-2</v>
      </c>
      <c r="NH11" s="116">
        <f t="shared" si="23"/>
        <v>1.0636916788619522E-2</v>
      </c>
      <c r="NI11" s="116">
        <f t="shared" si="23"/>
        <v>9.9142871301755569E-3</v>
      </c>
      <c r="NJ11" s="116">
        <f t="shared" si="23"/>
        <v>9.2277459213194676E-3</v>
      </c>
      <c r="NK11" s="116">
        <f t="shared" si="23"/>
        <v>8.5766595002104949E-3</v>
      </c>
      <c r="NL11" s="116">
        <f t="shared" si="23"/>
        <v>7.9602941124365025E-3</v>
      </c>
      <c r="NM11" s="116">
        <f t="shared" si="23"/>
        <v>7.3778269516038796E-3</v>
      </c>
      <c r="NN11" s="116">
        <f t="shared" si="23"/>
        <v>6.828357017822361E-3</v>
      </c>
      <c r="NO11" s="116">
        <f t="shared" si="23"/>
        <v>6.3109157188843612E-3</v>
      </c>
      <c r="NP11" s="116">
        <f t="shared" si="23"/>
        <v>5.8244771468267025E-3</v>
      </c>
      <c r="NQ11" s="116">
        <f t="shared" si="23"/>
        <v>5.36796797060293E-3</v>
      </c>
      <c r="NR11" s="116">
        <f t="shared" si="23"/>
        <v>4.9402768936779168E-3</v>
      </c>
      <c r="NS11" s="116">
        <f t="shared" si="23"/>
        <v>4.540263633381233E-3</v>
      </c>
      <c r="NT11" s="116">
        <f t="shared" si="23"/>
        <v>4.1667673867290681E-3</v>
      </c>
      <c r="NU11" s="116">
        <f t="shared" si="23"/>
        <v>3.8186147550623517E-3</v>
      </c>
      <c r="NV11" s="116">
        <f t="shared" si="23"/>
        <v>3.494627107176677E-3</v>
      </c>
      <c r="NW11" s="116">
        <f t="shared" si="23"/>
        <v>3.193627367574294E-3</v>
      </c>
      <c r="NX11" s="116">
        <f t="shared" si="23"/>
        <v>2.9144462229952887E-3</v>
      </c>
      <c r="NY11" s="116">
        <f t="shared" si="23"/>
        <v>2.6559277464408238E-3</v>
      </c>
      <c r="NZ11" s="116">
        <f t="shared" si="23"/>
        <v>2.4169344434522384E-3</v>
      </c>
      <c r="OA11" s="116">
        <f t="shared" si="23"/>
        <v>2.196351730431791E-3</v>
      </c>
      <c r="OB11" s="116">
        <f t="shared" si="23"/>
        <v>1.9930918592690064E-3</v>
      </c>
      <c r="OC11" s="116">
        <f t="shared" si="23"/>
        <v>1.8060973064648539E-3</v>
      </c>
      <c r="OD11" s="116">
        <f t="shared" si="23"/>
        <v>1.6343436483257144E-3</v>
      </c>
      <c r="OE11" s="116">
        <f t="shared" si="23"/>
        <v>1.4768419466394634E-3</v>
      </c>
      <c r="OF11" s="116">
        <f t="shared" si="23"/>
        <v>1.3326406715621218E-3</v>
      </c>
      <c r="OG11" s="116">
        <f t="shared" si="23"/>
        <v>1.2008271902562912E-3</v>
      </c>
      <c r="OH11" s="116">
        <f t="shared" si="23"/>
        <v>1.0805288511577668E-3</v>
      </c>
      <c r="OI11" s="116">
        <f t="shared" si="23"/>
        <v>9.7091369463385814E-4</v>
      </c>
      <c r="OJ11" s="116">
        <f t="shared" si="23"/>
        <v>8.7119082126877628E-4</v>
      </c>
      <c r="OK11" s="116">
        <f t="shared" si="23"/>
        <v>7.806104491031744E-4</v>
      </c>
      <c r="OL11" s="116">
        <f t="shared" si="23"/>
        <v>6.9846369090307669E-4</v>
      </c>
      <c r="OM11" s="116">
        <f t="shared" si="23"/>
        <v>6.2408208197586694E-4</v>
      </c>
      <c r="ON11" s="116">
        <f t="shared" si="23"/>
        <v>5.5683688822532077E-4</v>
      </c>
      <c r="OO11" s="116">
        <f t="shared" si="23"/>
        <v>4.9613822308167935E-4</v>
      </c>
      <c r="OP11" s="116">
        <f t="shared" si="23"/>
        <v>4.4143400069298429E-4</v>
      </c>
      <c r="OQ11" s="116">
        <f t="shared" si="23"/>
        <v>3.9220875135592031E-4</v>
      </c>
      <c r="OR11" s="116">
        <f t="shared" si="23"/>
        <v>3.4798232363191233E-4</v>
      </c>
      <c r="OS11" s="116">
        <f t="shared" si="23"/>
        <v>3.0830849596904836E-4</v>
      </c>
      <c r="OT11" s="116">
        <f t="shared" si="23"/>
        <v>2.7277351896205185E-4</v>
      </c>
      <c r="OU11" s="116">
        <f t="shared" si="23"/>
        <v>2.4099460765821798E-4</v>
      </c>
      <c r="OV11" s="116">
        <f t="shared" si="23"/>
        <v>2.1261840158147367E-4</v>
      </c>
      <c r="OW11" s="116">
        <f t="shared" si="23"/>
        <v>1.8731940842155325E-4</v>
      </c>
      <c r="OX11" s="116">
        <f t="shared" si="23"/>
        <v>1.6479844564000457E-4</v>
      </c>
      <c r="OY11" s="116">
        <f t="shared" si="23"/>
        <v>1.4478109259607013E-4</v>
      </c>
      <c r="OZ11" s="116">
        <f t="shared" si="23"/>
        <v>1.2701616420758596E-4</v>
      </c>
      <c r="PA11" s="116">
        <f t="shared" ref="PA11:PH11" si="24">MAX(PA8:PA10)</f>
        <v>1.1127421564656802E-4</v>
      </c>
      <c r="PB11" s="116">
        <f t="shared" si="24"/>
        <v>9.734608613548019E-5</v>
      </c>
      <c r="PC11" s="116">
        <f t="shared" si="24"/>
        <v>8.5041488565411097E-5</v>
      </c>
      <c r="PD11" s="116">
        <f t="shared" si="24"/>
        <v>7.4187650406650941E-5</v>
      </c>
      <c r="PE11" s="116">
        <f t="shared" si="24"/>
        <v>6.4628010228681148E-5</v>
      </c>
      <c r="PF11" s="116">
        <f t="shared" si="24"/>
        <v>5.622097309192882E-5</v>
      </c>
      <c r="PG11" s="116">
        <f t="shared" si="24"/>
        <v>4.8838727117856758E-5</v>
      </c>
      <c r="PH11" s="116">
        <f t="shared" si="24"/>
        <v>4.2366122685818326E-5</v>
      </c>
    </row>
    <row r="12" spans="1:425" ht="18.5" customHeight="1">
      <c r="A12" s="170" t="s">
        <v>639</v>
      </c>
      <c r="B12" s="171">
        <v>90</v>
      </c>
      <c r="C12" s="172" t="s">
        <v>632</v>
      </c>
      <c r="D12" s="173">
        <f>IF(ISNUMBER(B12),($G$7+B12)-1,"")</f>
        <v>45747</v>
      </c>
      <c r="H12" s="3"/>
      <c r="I12" s="3"/>
      <c r="J12" s="3"/>
      <c r="K12" s="3"/>
      <c r="L12" s="3"/>
      <c r="M12" s="3"/>
      <c r="N12" s="3"/>
      <c r="O12" s="3"/>
      <c r="P12" s="3"/>
      <c r="Q12" s="3"/>
      <c r="R12" s="3"/>
      <c r="S12" s="3"/>
      <c r="T12" s="3"/>
      <c r="U12" s="3"/>
    </row>
    <row r="13" spans="1:425" ht="18.5" customHeight="1">
      <c r="A13" s="174" t="s">
        <v>640</v>
      </c>
      <c r="B13" s="157">
        <v>92</v>
      </c>
      <c r="C13" s="159" t="s">
        <v>633</v>
      </c>
      <c r="D13" s="175">
        <f>IF(ISNUMBER(B13),($G$7+B13)-1,"")</f>
        <v>45749</v>
      </c>
      <c r="H13" s="3"/>
      <c r="I13" s="3"/>
      <c r="J13" s="3"/>
      <c r="K13" s="3"/>
      <c r="L13" s="3"/>
      <c r="M13" s="3"/>
      <c r="N13" s="3"/>
      <c r="O13" s="3"/>
      <c r="P13" s="3"/>
      <c r="Q13" s="3"/>
      <c r="R13" s="3"/>
      <c r="S13" s="3"/>
      <c r="T13" s="3"/>
      <c r="U13" s="3"/>
    </row>
    <row r="14" spans="1:425" ht="18.5" customHeight="1" thickBot="1">
      <c r="A14" s="176" t="s">
        <v>634</v>
      </c>
      <c r="B14" s="167">
        <f>IF(OR(B12="",B13=""),"",(B13-B12)+1)</f>
        <v>3</v>
      </c>
      <c r="C14" s="177"/>
      <c r="D14" s="178"/>
      <c r="H14" s="3"/>
      <c r="I14" s="3"/>
      <c r="J14" s="3"/>
      <c r="K14" s="3"/>
      <c r="L14" s="3"/>
      <c r="M14" s="3"/>
      <c r="N14" s="3"/>
      <c r="O14" s="3"/>
      <c r="P14" s="3"/>
      <c r="Q14" s="3"/>
      <c r="R14" s="3"/>
      <c r="S14" s="3"/>
      <c r="T14" s="3"/>
      <c r="U14" s="3"/>
    </row>
    <row r="15" spans="1:425">
      <c r="A15" s="3"/>
      <c r="H15" s="3"/>
      <c r="I15" s="3"/>
      <c r="J15" s="3"/>
      <c r="K15" s="3"/>
      <c r="L15" s="3"/>
      <c r="M15" s="3"/>
      <c r="N15" s="3"/>
      <c r="O15" s="3"/>
      <c r="P15" s="3"/>
      <c r="Q15" s="3"/>
      <c r="R15" s="3"/>
      <c r="S15" s="3"/>
      <c r="T15" s="3"/>
      <c r="U15" s="3"/>
    </row>
    <row r="16" spans="1:425" ht="15.75">
      <c r="A16" s="3"/>
      <c r="B16" s="3"/>
      <c r="C16" s="17" t="s">
        <v>620</v>
      </c>
      <c r="D16" s="129">
        <v>0.5</v>
      </c>
      <c r="H16" s="3"/>
      <c r="I16" s="3"/>
      <c r="J16" s="3"/>
      <c r="K16" s="3"/>
      <c r="L16" s="3"/>
      <c r="M16" s="3"/>
      <c r="N16" s="3"/>
      <c r="O16" s="3"/>
      <c r="P16" s="3"/>
      <c r="Q16" s="3"/>
      <c r="R16" s="3"/>
      <c r="S16" s="3"/>
      <c r="T16" s="3"/>
      <c r="U16" s="3"/>
    </row>
    <row r="17" spans="1:21" ht="15.75">
      <c r="A17" s="3"/>
      <c r="C17" s="17" t="s">
        <v>621</v>
      </c>
      <c r="D17" s="54">
        <f>IF(AND(D16&gt;0,D16&lt;1,NOT(J5="")),_xlfn.NORM.INV((1-$D$16)/2,$G$5,$J$5),"")</f>
        <v>84.214252007019581</v>
      </c>
      <c r="E17" s="21"/>
      <c r="F17" s="23"/>
      <c r="G17" s="3"/>
      <c r="H17" s="3"/>
      <c r="I17" s="3"/>
      <c r="J17" s="3"/>
      <c r="K17" s="3"/>
      <c r="L17" s="3"/>
      <c r="M17" s="3"/>
      <c r="N17" s="3"/>
      <c r="O17" s="3"/>
      <c r="P17" s="3"/>
      <c r="Q17" s="3"/>
      <c r="R17" s="3"/>
      <c r="S17" s="3"/>
      <c r="T17" s="3"/>
      <c r="U17" s="3"/>
    </row>
    <row r="18" spans="1:21" ht="15.75">
      <c r="A18" s="3"/>
      <c r="B18" s="3"/>
      <c r="C18" s="17" t="s">
        <v>38</v>
      </c>
      <c r="D18" s="54">
        <f>IF(AND(D16&gt;0,D16&lt;1,NOT(J5="")),_xlfn.NORM.INV(($D$16+(1-$D$16)/2),$G$5,$J$5),"")</f>
        <v>93.252414659647087</v>
      </c>
      <c r="E18" s="22"/>
      <c r="F18" s="2"/>
      <c r="G18" s="3"/>
      <c r="H18" s="3"/>
      <c r="I18" s="3"/>
      <c r="J18" s="3"/>
      <c r="K18" s="3"/>
      <c r="L18" s="3"/>
      <c r="M18" s="3"/>
      <c r="N18" s="3"/>
      <c r="O18" s="3"/>
      <c r="P18" s="3"/>
      <c r="Q18" s="3"/>
      <c r="R18" s="3"/>
      <c r="S18" s="3"/>
      <c r="T18" s="3"/>
      <c r="U18" s="3"/>
    </row>
    <row r="19" spans="1:21" ht="15.75">
      <c r="A19" s="3"/>
      <c r="C19" s="17" t="s">
        <v>634</v>
      </c>
      <c r="D19" s="147">
        <f>(D18-D17)+1</f>
        <v>10.038162652627506</v>
      </c>
      <c r="E19" s="22"/>
      <c r="F19" s="2"/>
      <c r="G19" s="3"/>
      <c r="H19" s="3"/>
      <c r="I19" s="3"/>
      <c r="J19" s="3"/>
      <c r="K19" s="3"/>
      <c r="L19" s="3"/>
      <c r="M19" s="3"/>
      <c r="N19" s="3"/>
      <c r="O19" s="3"/>
      <c r="P19" s="3"/>
      <c r="Q19" s="3"/>
      <c r="R19" s="3"/>
      <c r="S19" s="3"/>
      <c r="T19" s="3"/>
      <c r="U19" s="3"/>
    </row>
    <row r="20" spans="1:21" ht="16.899999999999999">
      <c r="A20" s="3"/>
      <c r="B20" s="3"/>
      <c r="C20" s="17"/>
      <c r="D20" s="25"/>
      <c r="E20" s="22"/>
      <c r="F20" s="2"/>
      <c r="G20" s="3"/>
      <c r="H20" s="3"/>
      <c r="I20" s="3"/>
      <c r="J20" s="3"/>
      <c r="K20" s="3"/>
      <c r="L20" s="3"/>
      <c r="M20" s="3"/>
      <c r="N20" s="3"/>
      <c r="O20" s="3"/>
      <c r="P20" s="3"/>
      <c r="Q20" s="3"/>
      <c r="R20" s="3"/>
      <c r="S20" s="3"/>
      <c r="T20" s="3"/>
      <c r="U20" s="3"/>
    </row>
    <row r="21" spans="1:21" ht="15.75">
      <c r="A21" s="3"/>
      <c r="B21" s="3"/>
      <c r="C21" s="55" t="s">
        <v>12</v>
      </c>
      <c r="D21" s="128">
        <v>90</v>
      </c>
      <c r="E21" s="22"/>
      <c r="F21" s="29" t="s">
        <v>14</v>
      </c>
      <c r="G21" s="3"/>
      <c r="H21" s="3"/>
      <c r="I21" s="3"/>
      <c r="J21" s="3"/>
      <c r="K21" s="3"/>
      <c r="L21" s="3"/>
      <c r="M21" s="3"/>
      <c r="N21" s="3"/>
      <c r="O21" s="3"/>
      <c r="P21" s="3"/>
      <c r="Q21" s="3"/>
      <c r="R21" s="3"/>
      <c r="S21" s="3"/>
      <c r="T21" s="3"/>
      <c r="U21" s="3"/>
    </row>
    <row r="22" spans="1:21" ht="15.75">
      <c r="A22" s="3"/>
      <c r="B22" s="3"/>
      <c r="C22" s="55" t="s">
        <v>13</v>
      </c>
      <c r="D22" s="128">
        <v>92</v>
      </c>
      <c r="E22" s="22"/>
      <c r="F22" s="29" t="s">
        <v>15</v>
      </c>
      <c r="G22" s="3"/>
      <c r="H22" s="3"/>
      <c r="I22" s="3"/>
      <c r="J22" s="3"/>
      <c r="K22" s="3"/>
      <c r="L22" s="3"/>
      <c r="M22" s="3"/>
      <c r="N22" s="3"/>
      <c r="O22" s="3"/>
      <c r="P22" s="3"/>
      <c r="Q22" s="3"/>
      <c r="R22" s="3"/>
      <c r="S22" s="3"/>
      <c r="T22" s="3"/>
      <c r="U22" s="3"/>
    </row>
    <row r="23" spans="1:21" ht="16.899999999999999">
      <c r="A23" s="3"/>
      <c r="B23" s="3"/>
      <c r="C23" s="55" t="s">
        <v>39</v>
      </c>
      <c r="D23" s="26">
        <f>IF(AND($D$21&gt;0,$D$22&gt;0,$D$21&lt;$D$22,NOT(J5="")),_xlfn.NORM.DIST($D$22,$G$5,$J$5,TRUE)-_xlfn.NORM.DIST($D$21,$G$5,$J$5,TRUE),"")</f>
        <v>0.11209497073112007</v>
      </c>
      <c r="E23" s="22"/>
      <c r="F23" s="29" t="s">
        <v>28</v>
      </c>
      <c r="G23" s="3"/>
      <c r="H23" s="3"/>
      <c r="I23" s="3"/>
      <c r="J23" s="3"/>
      <c r="K23" s="3"/>
      <c r="L23" s="3"/>
      <c r="M23" s="3"/>
      <c r="N23" s="3"/>
      <c r="O23" s="3"/>
      <c r="P23" s="3"/>
      <c r="Q23" s="3"/>
      <c r="R23" s="3"/>
      <c r="S23" s="3"/>
      <c r="T23" s="3"/>
      <c r="U23" s="3"/>
    </row>
    <row r="24" spans="1:21" ht="16.899999999999999">
      <c r="A24" s="3"/>
      <c r="B24" s="3"/>
      <c r="C24" s="55" t="s">
        <v>93</v>
      </c>
      <c r="D24" s="28">
        <f>IF(AND($D$21&gt;0,$D$22&gt;0,$D$21&lt;$D$22,NOT($J$5="")),_xlfn.NORM.DIST(D21,$G$5,$J$5,TRUE),"")</f>
        <v>0.57497503767556879</v>
      </c>
      <c r="E24" s="22"/>
      <c r="F24" s="29" t="s">
        <v>29</v>
      </c>
      <c r="G24" s="3"/>
      <c r="H24" s="3"/>
      <c r="I24" s="3"/>
      <c r="J24" s="3"/>
      <c r="K24" s="3"/>
      <c r="L24" s="3"/>
      <c r="M24" s="3"/>
      <c r="N24" s="3"/>
      <c r="O24" s="3"/>
      <c r="P24" s="3"/>
      <c r="Q24" s="3"/>
      <c r="R24" s="3"/>
      <c r="S24" s="3"/>
      <c r="T24" s="3"/>
      <c r="U24" s="3"/>
    </row>
    <row r="25" spans="1:21" ht="16.899999999999999">
      <c r="A25" s="3"/>
      <c r="B25" s="3"/>
      <c r="C25" s="55" t="s">
        <v>94</v>
      </c>
      <c r="D25" s="27">
        <f>IF(AND($D$21&gt;0,$D$22&gt;0,$D$21&lt;$D$22,NOT($J$5="")),1-_xlfn.NORM.DIST(D22,$G$5,$J$5,TRUE),"")</f>
        <v>0.31292999159331114</v>
      </c>
      <c r="E25" s="22"/>
      <c r="F25" s="29" t="s">
        <v>27</v>
      </c>
      <c r="G25" s="3"/>
      <c r="H25" s="3"/>
      <c r="I25" s="3"/>
      <c r="J25" s="3"/>
      <c r="K25" s="3"/>
      <c r="L25" s="3"/>
      <c r="M25" s="3"/>
      <c r="N25" s="3"/>
      <c r="O25" s="3"/>
      <c r="P25" s="3"/>
      <c r="Q25" s="3"/>
      <c r="R25" s="3"/>
      <c r="S25" s="3"/>
      <c r="T25" s="3"/>
      <c r="U25" s="3"/>
    </row>
    <row r="26" spans="1:21">
      <c r="A26" s="3"/>
      <c r="B26" s="3"/>
      <c r="C26" s="17"/>
      <c r="D26" s="17"/>
      <c r="E26" s="2"/>
      <c r="F26" s="2"/>
      <c r="G26" s="3"/>
      <c r="H26" s="3"/>
      <c r="I26" s="3"/>
      <c r="J26" s="3"/>
      <c r="K26" s="3"/>
      <c r="L26" s="3"/>
      <c r="M26" s="3"/>
      <c r="N26" s="3"/>
      <c r="O26" s="3"/>
      <c r="P26" s="3"/>
      <c r="Q26" s="3"/>
      <c r="R26" s="3"/>
      <c r="S26" s="3"/>
      <c r="T26" s="3"/>
      <c r="U26" s="3"/>
    </row>
    <row r="27" spans="1:21">
      <c r="A27" s="2"/>
      <c r="B27" s="3"/>
      <c r="C27" s="3"/>
      <c r="D27" s="3"/>
      <c r="E27" s="2"/>
      <c r="F27" s="2"/>
      <c r="G27" s="3"/>
      <c r="H27" s="2"/>
      <c r="I27" s="2"/>
      <c r="J27" s="3"/>
      <c r="K27" s="3"/>
      <c r="L27" s="3"/>
      <c r="M27" s="3"/>
      <c r="N27" s="3"/>
      <c r="O27" s="3"/>
      <c r="P27" s="3"/>
      <c r="Q27" s="3"/>
      <c r="R27" s="3"/>
      <c r="S27" s="3"/>
      <c r="T27" s="3"/>
      <c r="U27" s="3"/>
    </row>
    <row r="28" spans="1:21">
      <c r="A28" s="2"/>
      <c r="B28" s="7" t="str">
        <f>CONCATENATE("Version ",'Change Log'!$B$3," – © 2022-",YEAR('Change Log'!$A$3),IF('Change Log'!$C$3="William W. Davis",", William W. Davis, MSPM, PMP",CONCATENATE(", original copyright holder is William W. Davis, MSPM, PMP; later modified by ",'Change Log'!$C$3)))</f>
        <v>Version 1.4 – © 2022-2025, William W. Davis, MSPM, PMP</v>
      </c>
      <c r="C28" s="3"/>
      <c r="D28" s="3"/>
      <c r="E28" s="3"/>
      <c r="F28" s="2"/>
      <c r="G28" s="2"/>
      <c r="H28" s="3"/>
      <c r="I28" s="3"/>
      <c r="J28" s="2"/>
      <c r="K28" s="2"/>
      <c r="L28" s="3"/>
      <c r="M28" s="3"/>
      <c r="N28" s="3"/>
      <c r="O28" s="3"/>
      <c r="P28" s="3"/>
      <c r="Q28" s="3"/>
      <c r="R28" s="3"/>
      <c r="S28" s="3"/>
      <c r="T28" s="3"/>
      <c r="U28" s="3"/>
    </row>
    <row r="29" spans="1:21">
      <c r="A29" s="2"/>
      <c r="B29" s="226" t="s">
        <v>49</v>
      </c>
      <c r="C29" s="226"/>
      <c r="D29" s="226"/>
      <c r="E29" s="226"/>
      <c r="F29" s="226"/>
      <c r="G29" s="226"/>
      <c r="H29" s="226"/>
      <c r="I29" s="68"/>
      <c r="J29" s="2"/>
      <c r="K29" s="2"/>
      <c r="L29" s="3"/>
      <c r="M29" s="3"/>
      <c r="N29" s="3"/>
      <c r="O29" s="3"/>
      <c r="P29" s="3"/>
      <c r="Q29" s="3"/>
      <c r="R29" s="3"/>
      <c r="S29" s="3"/>
      <c r="T29" s="3"/>
      <c r="U29" s="3"/>
    </row>
    <row r="30" spans="1:21">
      <c r="A30" s="2"/>
      <c r="B30" s="226" t="s">
        <v>50</v>
      </c>
      <c r="C30" s="226"/>
      <c r="D30" s="226"/>
      <c r="E30" s="226"/>
      <c r="F30" s="226"/>
      <c r="G30" s="226"/>
      <c r="H30" s="226"/>
      <c r="I30" s="68"/>
      <c r="J30" s="2"/>
      <c r="K30" s="2"/>
      <c r="L30" s="3"/>
      <c r="M30" s="3"/>
      <c r="N30" s="3"/>
      <c r="O30" s="3"/>
      <c r="P30" s="3"/>
      <c r="Q30" s="3"/>
      <c r="R30" s="3"/>
      <c r="S30" s="3"/>
      <c r="T30" s="3"/>
      <c r="U30" s="3"/>
    </row>
    <row r="31" spans="1:21">
      <c r="A31" s="2"/>
      <c r="B31" s="226" t="s">
        <v>47</v>
      </c>
      <c r="C31" s="226"/>
      <c r="D31" s="226"/>
      <c r="E31" s="226"/>
      <c r="F31" s="226"/>
      <c r="G31" s="226"/>
      <c r="H31" s="226"/>
      <c r="I31" s="68"/>
      <c r="J31" s="2"/>
      <c r="K31" s="2"/>
      <c r="L31" s="3"/>
      <c r="M31" s="3"/>
      <c r="N31" s="3"/>
      <c r="O31" s="3"/>
      <c r="P31" s="3"/>
      <c r="Q31" s="3"/>
      <c r="R31" s="3"/>
      <c r="S31" s="3"/>
      <c r="T31" s="3"/>
      <c r="U31" s="3"/>
    </row>
    <row r="32" spans="1:21">
      <c r="A32" s="2"/>
      <c r="B32" s="226" t="s">
        <v>91</v>
      </c>
      <c r="C32" s="226"/>
      <c r="D32" s="226"/>
      <c r="E32" s="226"/>
      <c r="F32" s="226"/>
      <c r="G32" s="226"/>
      <c r="H32" s="226"/>
      <c r="I32" s="68"/>
      <c r="J32" s="2"/>
      <c r="K32" s="2"/>
      <c r="L32" s="3"/>
      <c r="M32" s="3"/>
      <c r="N32" s="3"/>
      <c r="O32" s="3"/>
      <c r="P32" s="3"/>
      <c r="Q32" s="3"/>
      <c r="R32" s="3"/>
      <c r="S32" s="3"/>
      <c r="T32" s="3"/>
      <c r="U32" s="3"/>
    </row>
    <row r="33" spans="1:21">
      <c r="A33" s="2"/>
      <c r="B33" s="226" t="s">
        <v>826</v>
      </c>
      <c r="C33" s="226"/>
      <c r="D33" s="226"/>
      <c r="E33" s="226"/>
      <c r="F33" s="226"/>
      <c r="G33" s="226"/>
      <c r="H33" s="226"/>
      <c r="I33" s="68"/>
      <c r="J33" s="2"/>
      <c r="K33" s="2"/>
      <c r="L33" s="3"/>
      <c r="M33" s="3"/>
      <c r="N33" s="3"/>
      <c r="O33" s="3"/>
      <c r="P33" s="3"/>
      <c r="Q33" s="3"/>
      <c r="R33" s="3"/>
      <c r="S33" s="3"/>
      <c r="T33" s="3"/>
      <c r="U33" s="3"/>
    </row>
    <row r="34" spans="1:21">
      <c r="A34" s="2"/>
      <c r="B34" s="72" t="s">
        <v>86</v>
      </c>
      <c r="C34" s="3"/>
      <c r="D34" s="3"/>
      <c r="E34" s="3"/>
      <c r="F34" s="2"/>
      <c r="G34" s="2"/>
      <c r="H34" s="3"/>
      <c r="I34" s="3"/>
      <c r="J34" s="2"/>
      <c r="K34" s="2"/>
      <c r="L34" s="3"/>
      <c r="M34" s="3"/>
      <c r="N34" s="3"/>
      <c r="O34" s="3"/>
      <c r="P34" s="3"/>
      <c r="Q34" s="3"/>
      <c r="R34" s="3"/>
      <c r="S34" s="3"/>
      <c r="T34" s="3"/>
      <c r="U34" s="3"/>
    </row>
    <row r="35" spans="1:21">
      <c r="A35" s="2"/>
      <c r="B35" s="72" t="s">
        <v>46</v>
      </c>
      <c r="C35" s="3"/>
      <c r="D35" s="3"/>
      <c r="E35" s="3"/>
      <c r="F35" s="2"/>
      <c r="G35" s="2"/>
      <c r="H35" s="3"/>
      <c r="I35" s="3"/>
      <c r="J35" s="2"/>
      <c r="K35" s="2"/>
      <c r="L35" s="3"/>
      <c r="M35" s="3"/>
      <c r="N35" s="3"/>
      <c r="O35" s="3"/>
      <c r="P35" s="3"/>
      <c r="Q35" s="3"/>
      <c r="R35" s="3"/>
      <c r="S35" s="3"/>
      <c r="T35" s="3"/>
      <c r="U35" s="3"/>
    </row>
    <row r="36" spans="1:21">
      <c r="A36" s="7"/>
      <c r="B36" s="72" t="s">
        <v>85</v>
      </c>
      <c r="C36" s="3"/>
      <c r="D36" s="3"/>
      <c r="E36" s="2"/>
      <c r="F36" s="2"/>
      <c r="G36" s="3"/>
      <c r="H36" s="2"/>
      <c r="I36" s="2"/>
      <c r="J36" s="3"/>
      <c r="K36" s="3"/>
      <c r="L36" s="3"/>
      <c r="M36" s="3"/>
      <c r="N36" s="3"/>
      <c r="O36" s="3"/>
      <c r="P36" s="3"/>
      <c r="Q36" s="3"/>
      <c r="R36" s="3"/>
      <c r="S36" s="3"/>
      <c r="T36" s="3"/>
      <c r="U36" s="3"/>
    </row>
    <row r="37" spans="1:21">
      <c r="A37" s="7"/>
      <c r="B37" s="72" t="s">
        <v>87</v>
      </c>
      <c r="C37" s="3"/>
      <c r="D37" s="3"/>
      <c r="E37" s="2"/>
      <c r="F37" s="2"/>
      <c r="G37" s="3"/>
      <c r="H37" s="2"/>
      <c r="I37" s="2"/>
      <c r="J37" s="3"/>
      <c r="K37" s="3"/>
      <c r="L37" s="3"/>
      <c r="M37" s="3"/>
      <c r="N37" s="3"/>
      <c r="O37" s="3"/>
      <c r="P37" s="3"/>
      <c r="Q37" s="3"/>
      <c r="R37" s="3"/>
      <c r="S37" s="3"/>
      <c r="T37" s="3"/>
      <c r="U37" s="3"/>
    </row>
    <row r="38" spans="1:21">
      <c r="A38" s="7"/>
      <c r="B38" s="72" t="s">
        <v>608</v>
      </c>
      <c r="C38" s="3"/>
      <c r="D38" s="3"/>
      <c r="E38" s="2"/>
      <c r="F38" s="2"/>
      <c r="G38" s="3"/>
      <c r="H38" s="2"/>
      <c r="I38" s="2"/>
      <c r="J38" s="3"/>
      <c r="K38" s="3"/>
      <c r="L38" s="3"/>
      <c r="M38" s="3"/>
      <c r="N38" s="3"/>
      <c r="O38" s="3"/>
      <c r="P38" s="3"/>
      <c r="Q38" s="3"/>
      <c r="R38" s="3"/>
      <c r="S38" s="3"/>
      <c r="T38" s="3"/>
      <c r="U38" s="3"/>
    </row>
    <row r="39" spans="1:21">
      <c r="A39" s="7"/>
      <c r="B39" s="72" t="s">
        <v>609</v>
      </c>
      <c r="C39" s="3"/>
      <c r="D39" s="3"/>
      <c r="E39" s="2"/>
      <c r="F39" s="2"/>
      <c r="G39" s="3"/>
      <c r="H39" s="2"/>
      <c r="I39" s="2"/>
      <c r="J39" s="3"/>
      <c r="K39" s="3"/>
      <c r="L39" s="3"/>
      <c r="M39" s="3"/>
      <c r="N39" s="3"/>
      <c r="O39" s="3"/>
      <c r="P39" s="3"/>
      <c r="Q39" s="3"/>
      <c r="R39" s="3"/>
      <c r="S39" s="3"/>
      <c r="T39" s="3"/>
      <c r="U39" s="3"/>
    </row>
    <row r="40" spans="1:21">
      <c r="B40" s="72"/>
    </row>
    <row r="41" spans="1:21">
      <c r="B41" s="72" t="s">
        <v>610</v>
      </c>
    </row>
    <row r="42" spans="1:21">
      <c r="B42" s="72" t="s">
        <v>45</v>
      </c>
    </row>
    <row r="43" spans="1:21">
      <c r="B43" s="227" t="s">
        <v>613</v>
      </c>
      <c r="C43" s="227"/>
      <c r="D43" s="227"/>
      <c r="E43" s="227"/>
      <c r="F43" s="227"/>
      <c r="G43" s="227"/>
      <c r="H43" s="227"/>
    </row>
    <row r="52" spans="1:9">
      <c r="A52"/>
      <c r="H52"/>
      <c r="I52"/>
    </row>
    <row r="53" spans="1:9">
      <c r="A53"/>
      <c r="H53"/>
      <c r="I53"/>
    </row>
    <row r="54" spans="1:9">
      <c r="A54"/>
      <c r="H54"/>
      <c r="I54"/>
    </row>
    <row r="55" spans="1:9">
      <c r="A55"/>
      <c r="H55"/>
      <c r="I55"/>
    </row>
    <row r="56" spans="1:9">
      <c r="A56"/>
      <c r="H56"/>
      <c r="I56"/>
    </row>
    <row r="57" spans="1:9">
      <c r="A57"/>
      <c r="H57"/>
      <c r="I57"/>
    </row>
    <row r="58" spans="1:9">
      <c r="A58"/>
      <c r="H58"/>
      <c r="I58"/>
    </row>
    <row r="59" spans="1:9">
      <c r="A59"/>
      <c r="H59"/>
      <c r="I59"/>
    </row>
    <row r="60" spans="1:9">
      <c r="A60"/>
      <c r="H60"/>
      <c r="I60"/>
    </row>
    <row r="61" spans="1:9">
      <c r="A61"/>
      <c r="H61"/>
      <c r="I61"/>
    </row>
    <row r="62" spans="1:9">
      <c r="A62"/>
      <c r="H62"/>
      <c r="I62"/>
    </row>
    <row r="63" spans="1:9">
      <c r="A63"/>
      <c r="H63"/>
      <c r="I63"/>
    </row>
    <row r="64" spans="1:9">
      <c r="A64"/>
      <c r="H64"/>
      <c r="I64"/>
    </row>
    <row r="65" spans="1:9">
      <c r="A65"/>
      <c r="H65"/>
      <c r="I65"/>
    </row>
    <row r="66" spans="1:9">
      <c r="A66"/>
      <c r="H66"/>
      <c r="I66"/>
    </row>
    <row r="67" spans="1:9">
      <c r="A67"/>
      <c r="H67"/>
      <c r="I67"/>
    </row>
    <row r="68" spans="1:9">
      <c r="A68"/>
      <c r="H68"/>
      <c r="I68"/>
    </row>
    <row r="69" spans="1:9">
      <c r="A69"/>
      <c r="H69"/>
      <c r="I69"/>
    </row>
    <row r="70" spans="1:9">
      <c r="A70"/>
      <c r="H70"/>
      <c r="I70"/>
    </row>
    <row r="71" spans="1:9">
      <c r="A71"/>
      <c r="H71"/>
      <c r="I71"/>
    </row>
    <row r="72" spans="1:9">
      <c r="A72"/>
      <c r="H72"/>
      <c r="I72"/>
    </row>
    <row r="73" spans="1:9">
      <c r="A73"/>
      <c r="H73"/>
      <c r="I73"/>
    </row>
    <row r="74" spans="1:9">
      <c r="A74"/>
      <c r="H74"/>
      <c r="I74"/>
    </row>
    <row r="75" spans="1:9">
      <c r="A75"/>
      <c r="H75"/>
      <c r="I75"/>
    </row>
    <row r="76" spans="1:9">
      <c r="A76"/>
      <c r="H76"/>
      <c r="I76"/>
    </row>
    <row r="77" spans="1:9">
      <c r="A77"/>
      <c r="H77"/>
      <c r="I77"/>
    </row>
    <row r="78" spans="1:9">
      <c r="A78"/>
      <c r="H78"/>
      <c r="I78"/>
    </row>
    <row r="79" spans="1:9">
      <c r="A79"/>
      <c r="H79"/>
      <c r="I79"/>
    </row>
    <row r="80" spans="1:9">
      <c r="A80"/>
      <c r="H80"/>
      <c r="I80"/>
    </row>
    <row r="81" spans="1:9">
      <c r="A81"/>
      <c r="H81"/>
      <c r="I81"/>
    </row>
    <row r="82" spans="1:9">
      <c r="A82"/>
      <c r="H82"/>
      <c r="I82"/>
    </row>
    <row r="83" spans="1:9">
      <c r="A83"/>
      <c r="H83"/>
      <c r="I83"/>
    </row>
    <row r="84" spans="1:9">
      <c r="A84"/>
      <c r="H84"/>
      <c r="I84"/>
    </row>
    <row r="85" spans="1:9">
      <c r="A85"/>
      <c r="H85"/>
      <c r="I85"/>
    </row>
    <row r="86" spans="1:9">
      <c r="A86"/>
      <c r="H86"/>
      <c r="I86"/>
    </row>
    <row r="87" spans="1:9">
      <c r="A87"/>
      <c r="H87"/>
      <c r="I87"/>
    </row>
    <row r="88" spans="1:9">
      <c r="A88"/>
      <c r="H88"/>
      <c r="I88"/>
    </row>
    <row r="89" spans="1:9">
      <c r="A89"/>
      <c r="H89"/>
      <c r="I89"/>
    </row>
    <row r="90" spans="1:9">
      <c r="A90"/>
      <c r="H90"/>
      <c r="I90"/>
    </row>
    <row r="91" spans="1:9">
      <c r="A91"/>
      <c r="H91"/>
      <c r="I91"/>
    </row>
    <row r="92" spans="1:9">
      <c r="A92"/>
      <c r="H92"/>
      <c r="I92"/>
    </row>
    <row r="93" spans="1:9">
      <c r="A93"/>
      <c r="H93"/>
      <c r="I93"/>
    </row>
    <row r="94" spans="1:9">
      <c r="A94"/>
      <c r="H94"/>
      <c r="I94"/>
    </row>
    <row r="95" spans="1:9">
      <c r="A95"/>
      <c r="H95"/>
      <c r="I95"/>
    </row>
    <row r="96" spans="1:9">
      <c r="A96"/>
      <c r="H96"/>
      <c r="I96"/>
    </row>
    <row r="97" spans="1:9">
      <c r="A97"/>
      <c r="H97"/>
      <c r="I97"/>
    </row>
    <row r="98" spans="1:9">
      <c r="A98"/>
      <c r="H98"/>
      <c r="I98"/>
    </row>
    <row r="99" spans="1:9">
      <c r="A99"/>
      <c r="H99"/>
      <c r="I99"/>
    </row>
    <row r="100" spans="1:9">
      <c r="A100"/>
      <c r="H100"/>
      <c r="I100"/>
    </row>
    <row r="101" spans="1:9">
      <c r="A101"/>
      <c r="H101"/>
      <c r="I101"/>
    </row>
    <row r="102" spans="1:9">
      <c r="A102"/>
      <c r="H102"/>
      <c r="I102"/>
    </row>
    <row r="103" spans="1:9">
      <c r="A103"/>
      <c r="H103"/>
      <c r="I103"/>
    </row>
    <row r="104" spans="1:9">
      <c r="A104"/>
      <c r="H104"/>
      <c r="I104"/>
    </row>
    <row r="105" spans="1:9">
      <c r="A105"/>
      <c r="H105"/>
      <c r="I105"/>
    </row>
    <row r="106" spans="1:9">
      <c r="A106"/>
      <c r="H106"/>
      <c r="I106"/>
    </row>
    <row r="107" spans="1:9">
      <c r="A107"/>
      <c r="H107"/>
      <c r="I107"/>
    </row>
    <row r="108" spans="1:9">
      <c r="A108"/>
      <c r="H108"/>
      <c r="I108"/>
    </row>
    <row r="109" spans="1:9">
      <c r="A109"/>
      <c r="H109"/>
      <c r="I109"/>
    </row>
    <row r="110" spans="1:9">
      <c r="A110"/>
      <c r="H110"/>
      <c r="I110"/>
    </row>
    <row r="111" spans="1:9">
      <c r="A111"/>
      <c r="H111"/>
      <c r="I111"/>
    </row>
    <row r="112" spans="1:9">
      <c r="A112"/>
      <c r="H112"/>
      <c r="I112"/>
    </row>
    <row r="113" spans="1:9">
      <c r="A113"/>
      <c r="H113"/>
      <c r="I113"/>
    </row>
    <row r="114" spans="1:9">
      <c r="A114"/>
      <c r="H114"/>
      <c r="I114"/>
    </row>
    <row r="115" spans="1:9">
      <c r="A115"/>
      <c r="H115"/>
      <c r="I115"/>
    </row>
    <row r="116" spans="1:9">
      <c r="A116"/>
      <c r="H116"/>
      <c r="I116"/>
    </row>
    <row r="117" spans="1:9">
      <c r="A117"/>
      <c r="H117"/>
      <c r="I117"/>
    </row>
    <row r="118" spans="1:9">
      <c r="A118"/>
      <c r="H118"/>
      <c r="I118"/>
    </row>
    <row r="119" spans="1:9">
      <c r="A119"/>
      <c r="H119"/>
      <c r="I119"/>
    </row>
    <row r="120" spans="1:9">
      <c r="A120"/>
      <c r="H120"/>
      <c r="I120"/>
    </row>
    <row r="121" spans="1:9">
      <c r="A121"/>
      <c r="H121"/>
      <c r="I121"/>
    </row>
    <row r="122" spans="1:9">
      <c r="A122"/>
      <c r="H122"/>
      <c r="I122"/>
    </row>
    <row r="123" spans="1:9">
      <c r="A123"/>
      <c r="H123"/>
      <c r="I123"/>
    </row>
    <row r="124" spans="1:9">
      <c r="A124"/>
      <c r="H124"/>
      <c r="I124"/>
    </row>
    <row r="125" spans="1:9">
      <c r="A125"/>
      <c r="H125"/>
      <c r="I125"/>
    </row>
    <row r="126" spans="1:9">
      <c r="A126"/>
      <c r="H126"/>
      <c r="I126"/>
    </row>
    <row r="127" spans="1:9">
      <c r="A127"/>
      <c r="H127"/>
      <c r="I127"/>
    </row>
    <row r="128" spans="1:9">
      <c r="A128"/>
      <c r="H128"/>
      <c r="I128"/>
    </row>
    <row r="129" spans="1:9">
      <c r="A129"/>
      <c r="H129"/>
      <c r="I129"/>
    </row>
    <row r="130" spans="1:9">
      <c r="A130"/>
      <c r="H130"/>
      <c r="I130"/>
    </row>
    <row r="131" spans="1:9">
      <c r="A131"/>
      <c r="H131"/>
      <c r="I131"/>
    </row>
    <row r="132" spans="1:9">
      <c r="A132"/>
      <c r="H132"/>
      <c r="I132"/>
    </row>
    <row r="133" spans="1:9">
      <c r="A133"/>
      <c r="H133"/>
      <c r="I133"/>
    </row>
    <row r="134" spans="1:9">
      <c r="A134"/>
      <c r="H134"/>
      <c r="I134"/>
    </row>
    <row r="135" spans="1:9">
      <c r="A135"/>
      <c r="H135"/>
      <c r="I135"/>
    </row>
    <row r="136" spans="1:9">
      <c r="A136"/>
      <c r="H136"/>
      <c r="I136"/>
    </row>
    <row r="137" spans="1:9">
      <c r="A137"/>
      <c r="H137"/>
      <c r="I137"/>
    </row>
    <row r="138" spans="1:9">
      <c r="A138"/>
      <c r="H138"/>
      <c r="I138"/>
    </row>
    <row r="139" spans="1:9">
      <c r="A139"/>
      <c r="H139"/>
      <c r="I139"/>
    </row>
    <row r="140" spans="1:9">
      <c r="A140"/>
      <c r="H140"/>
      <c r="I140"/>
    </row>
    <row r="141" spans="1:9">
      <c r="A141"/>
      <c r="H141"/>
      <c r="I141"/>
    </row>
    <row r="142" spans="1:9">
      <c r="A142"/>
      <c r="H142"/>
      <c r="I142"/>
    </row>
    <row r="143" spans="1:9">
      <c r="A143"/>
      <c r="H143"/>
      <c r="I143"/>
    </row>
    <row r="144" spans="1:9">
      <c r="A144"/>
      <c r="H144"/>
      <c r="I144"/>
    </row>
    <row r="145" spans="1:9">
      <c r="A145"/>
      <c r="H145"/>
      <c r="I145"/>
    </row>
    <row r="146" spans="1:9">
      <c r="A146"/>
      <c r="H146"/>
      <c r="I146"/>
    </row>
    <row r="147" spans="1:9">
      <c r="A147"/>
      <c r="H147"/>
      <c r="I147"/>
    </row>
    <row r="148" spans="1:9">
      <c r="A148"/>
      <c r="H148"/>
      <c r="I148"/>
    </row>
    <row r="149" spans="1:9">
      <c r="A149"/>
      <c r="H149"/>
      <c r="I149"/>
    </row>
    <row r="150" spans="1:9">
      <c r="A150"/>
      <c r="H150"/>
      <c r="I150"/>
    </row>
    <row r="151" spans="1:9">
      <c r="A151"/>
      <c r="H151"/>
      <c r="I151"/>
    </row>
    <row r="152" spans="1:9">
      <c r="A152"/>
      <c r="H152"/>
      <c r="I152"/>
    </row>
    <row r="153" spans="1:9">
      <c r="A153"/>
      <c r="H153"/>
      <c r="I153"/>
    </row>
    <row r="154" spans="1:9">
      <c r="A154"/>
      <c r="H154"/>
      <c r="I154"/>
    </row>
    <row r="155" spans="1:9">
      <c r="A155"/>
      <c r="H155"/>
      <c r="I155"/>
    </row>
    <row r="156" spans="1:9">
      <c r="A156"/>
      <c r="H156"/>
      <c r="I156"/>
    </row>
    <row r="157" spans="1:9">
      <c r="A157"/>
      <c r="H157"/>
      <c r="I157"/>
    </row>
    <row r="158" spans="1:9">
      <c r="A158"/>
      <c r="H158"/>
      <c r="I158"/>
    </row>
    <row r="159" spans="1:9">
      <c r="A159"/>
      <c r="H159"/>
      <c r="I159"/>
    </row>
    <row r="160" spans="1:9">
      <c r="A160"/>
      <c r="H160"/>
      <c r="I160"/>
    </row>
    <row r="161" spans="1:9">
      <c r="A161"/>
      <c r="H161"/>
      <c r="I161"/>
    </row>
    <row r="162" spans="1:9">
      <c r="A162"/>
      <c r="H162"/>
      <c r="I162"/>
    </row>
    <row r="163" spans="1:9">
      <c r="A163"/>
      <c r="H163"/>
      <c r="I163"/>
    </row>
    <row r="164" spans="1:9">
      <c r="A164"/>
      <c r="H164"/>
      <c r="I164"/>
    </row>
    <row r="165" spans="1:9">
      <c r="A165"/>
      <c r="H165"/>
      <c r="I165"/>
    </row>
    <row r="166" spans="1:9">
      <c r="A166"/>
      <c r="H166"/>
      <c r="I166"/>
    </row>
    <row r="167" spans="1:9">
      <c r="A167"/>
      <c r="H167"/>
      <c r="I167"/>
    </row>
    <row r="168" spans="1:9">
      <c r="A168"/>
      <c r="H168"/>
      <c r="I168"/>
    </row>
    <row r="169" spans="1:9">
      <c r="A169"/>
      <c r="H169"/>
      <c r="I169"/>
    </row>
    <row r="170" spans="1:9">
      <c r="A170"/>
      <c r="H170"/>
      <c r="I170"/>
    </row>
    <row r="171" spans="1:9">
      <c r="A171"/>
      <c r="H171"/>
      <c r="I171"/>
    </row>
    <row r="172" spans="1:9">
      <c r="A172"/>
      <c r="H172"/>
      <c r="I172"/>
    </row>
    <row r="173" spans="1:9">
      <c r="A173"/>
      <c r="H173"/>
      <c r="I173"/>
    </row>
    <row r="174" spans="1:9">
      <c r="A174"/>
      <c r="H174"/>
      <c r="I174"/>
    </row>
    <row r="175" spans="1:9">
      <c r="A175"/>
      <c r="H175"/>
      <c r="I175"/>
    </row>
    <row r="176" spans="1:9">
      <c r="A176"/>
      <c r="H176"/>
      <c r="I176"/>
    </row>
    <row r="177" spans="1:9">
      <c r="A177"/>
      <c r="H177"/>
      <c r="I177"/>
    </row>
    <row r="178" spans="1:9">
      <c r="A178"/>
      <c r="H178"/>
      <c r="I178"/>
    </row>
    <row r="179" spans="1:9">
      <c r="A179"/>
      <c r="H179"/>
      <c r="I179"/>
    </row>
    <row r="180" spans="1:9">
      <c r="A180"/>
      <c r="H180"/>
      <c r="I180"/>
    </row>
    <row r="181" spans="1:9">
      <c r="A181"/>
      <c r="H181"/>
      <c r="I181"/>
    </row>
    <row r="182" spans="1:9">
      <c r="A182"/>
      <c r="H182"/>
      <c r="I182"/>
    </row>
    <row r="183" spans="1:9">
      <c r="A183"/>
      <c r="H183"/>
      <c r="I183"/>
    </row>
    <row r="184" spans="1:9">
      <c r="A184"/>
      <c r="H184"/>
      <c r="I184"/>
    </row>
    <row r="185" spans="1:9">
      <c r="A185"/>
      <c r="H185"/>
      <c r="I185"/>
    </row>
    <row r="186" spans="1:9">
      <c r="A186"/>
      <c r="H186"/>
      <c r="I186"/>
    </row>
    <row r="187" spans="1:9">
      <c r="A187"/>
      <c r="H187"/>
      <c r="I187"/>
    </row>
    <row r="188" spans="1:9">
      <c r="A188"/>
      <c r="H188"/>
      <c r="I188"/>
    </row>
    <row r="189" spans="1:9">
      <c r="A189"/>
      <c r="H189"/>
      <c r="I189"/>
    </row>
    <row r="190" spans="1:9">
      <c r="A190"/>
      <c r="H190"/>
      <c r="I190"/>
    </row>
    <row r="191" spans="1:9">
      <c r="A191"/>
      <c r="H191"/>
      <c r="I191"/>
    </row>
    <row r="192" spans="1:9">
      <c r="A192"/>
      <c r="H192"/>
      <c r="I192"/>
    </row>
    <row r="193" spans="1:9">
      <c r="A193"/>
      <c r="H193"/>
      <c r="I193"/>
    </row>
    <row r="194" spans="1:9">
      <c r="A194"/>
      <c r="H194"/>
      <c r="I194"/>
    </row>
    <row r="195" spans="1:9">
      <c r="A195"/>
      <c r="H195"/>
      <c r="I195"/>
    </row>
    <row r="196" spans="1:9">
      <c r="A196"/>
      <c r="H196"/>
      <c r="I196"/>
    </row>
    <row r="197" spans="1:9">
      <c r="A197"/>
      <c r="H197"/>
      <c r="I197"/>
    </row>
    <row r="198" spans="1:9">
      <c r="A198"/>
      <c r="H198"/>
      <c r="I198"/>
    </row>
    <row r="199" spans="1:9">
      <c r="A199"/>
      <c r="H199"/>
      <c r="I199"/>
    </row>
    <row r="200" spans="1:9">
      <c r="A200"/>
      <c r="H200"/>
      <c r="I200"/>
    </row>
    <row r="201" spans="1:9">
      <c r="A201"/>
      <c r="H201"/>
      <c r="I201"/>
    </row>
    <row r="202" spans="1:9">
      <c r="A202"/>
      <c r="H202"/>
      <c r="I202"/>
    </row>
    <row r="203" spans="1:9">
      <c r="A203"/>
      <c r="H203"/>
      <c r="I203"/>
    </row>
    <row r="204" spans="1:9">
      <c r="A204"/>
      <c r="H204"/>
      <c r="I204"/>
    </row>
    <row r="205" spans="1:9">
      <c r="A205"/>
      <c r="H205"/>
      <c r="I205"/>
    </row>
    <row r="206" spans="1:9">
      <c r="A206"/>
      <c r="H206"/>
      <c r="I206"/>
    </row>
    <row r="209" spans="1:9">
      <c r="A209"/>
      <c r="H209"/>
      <c r="I209"/>
    </row>
    <row r="210" spans="1:9">
      <c r="A210"/>
      <c r="H210"/>
      <c r="I210"/>
    </row>
    <row r="211" spans="1:9">
      <c r="A211"/>
      <c r="H211"/>
      <c r="I211"/>
    </row>
    <row r="212" spans="1:9">
      <c r="A212"/>
      <c r="H212"/>
      <c r="I212"/>
    </row>
    <row r="213" spans="1:9">
      <c r="A213"/>
      <c r="H213"/>
      <c r="I213"/>
    </row>
    <row r="214" spans="1:9">
      <c r="A214"/>
      <c r="H214"/>
      <c r="I214"/>
    </row>
    <row r="215" spans="1:9">
      <c r="A215"/>
      <c r="H215"/>
      <c r="I215"/>
    </row>
    <row r="216" spans="1:9">
      <c r="A216"/>
      <c r="H216"/>
      <c r="I216"/>
    </row>
    <row r="217" spans="1:9">
      <c r="A217"/>
      <c r="H217"/>
      <c r="I217"/>
    </row>
    <row r="218" spans="1:9">
      <c r="A218"/>
      <c r="H218"/>
      <c r="I218"/>
    </row>
    <row r="219" spans="1:9">
      <c r="A219"/>
      <c r="H219"/>
      <c r="I219"/>
    </row>
    <row r="220" spans="1:9">
      <c r="A220"/>
      <c r="H220"/>
      <c r="I220"/>
    </row>
    <row r="221" spans="1:9">
      <c r="A221"/>
      <c r="H221"/>
      <c r="I221"/>
    </row>
    <row r="222" spans="1:9">
      <c r="A222"/>
      <c r="H222"/>
      <c r="I222"/>
    </row>
    <row r="223" spans="1:9">
      <c r="A223"/>
      <c r="H223"/>
      <c r="I223"/>
    </row>
    <row r="224" spans="1:9">
      <c r="A224"/>
      <c r="H224"/>
      <c r="I224"/>
    </row>
  </sheetData>
  <mergeCells count="10">
    <mergeCell ref="B31:H31"/>
    <mergeCell ref="B32:H32"/>
    <mergeCell ref="B33:H33"/>
    <mergeCell ref="B43:H43"/>
    <mergeCell ref="M2:M3"/>
    <mergeCell ref="N2:N3"/>
    <mergeCell ref="O2:T2"/>
    <mergeCell ref="B7:D7"/>
    <mergeCell ref="B29:H29"/>
    <mergeCell ref="B30:H30"/>
  </mergeCells>
  <conditionalFormatting sqref="E4">
    <cfRule type="iconSet" priority="19">
      <iconSet iconSet="3Symbols2" showValue="0">
        <cfvo type="percent" val="0"/>
        <cfvo type="percent" val="0.5"/>
        <cfvo type="num" val="1"/>
      </iconSet>
    </cfRule>
  </conditionalFormatting>
  <conditionalFormatting sqref="F4">
    <cfRule type="iconSet" priority="20">
      <iconSet showValue="0">
        <cfvo type="percent" val="0"/>
        <cfvo type="num" val="0.2"/>
        <cfvo type="num" val="0.3332"/>
      </iconSet>
    </cfRule>
  </conditionalFormatting>
  <conditionalFormatting sqref="O7:T7">
    <cfRule type="colorScale" priority="2">
      <colorScale>
        <cfvo type="min"/>
        <cfvo type="max"/>
        <color theme="9" tint="0.79998168889431442"/>
        <color theme="9"/>
      </colorScale>
    </cfRule>
  </conditionalFormatting>
  <dataValidations count="1">
    <dataValidation type="decimal" allowBlank="1" showInputMessage="1" showErrorMessage="1" sqref="O3:T3" xr:uid="{C47AE069-E0DA-4725-9489-BD18ABDBA5E0}">
      <formula1>0.0001</formula1>
      <formula2>0.9999</formula2>
    </dataValidation>
  </dataValidations>
  <hyperlinks>
    <hyperlink ref="B29" r:id="rId1" display="Download more FREE Statistical PERT templates at https://www.statisticalpert.com" xr:uid="{9E81DEBF-278A-4E3C-9AB6-B73CF46C2CF5}"/>
    <hyperlink ref="B30" r:id="rId2" display="Take a Pluralsight course on Statistical PERT" xr:uid="{A283394B-15B7-4CBF-BB1C-FDDED97528AC}"/>
    <hyperlink ref="B31" r:id="rId3" xr:uid="{C6D04D71-E9DD-414A-8894-A3E76FE1906B}"/>
    <hyperlink ref="B33" r:id="rId4" display="Follow Statistical PERT on Twitter to learn when new updates are released" xr:uid="{FC94DA8C-8DC5-48D2-9A7B-040BC9BE0EFC}"/>
    <hyperlink ref="B31:H31" r:id="rId5" display="Watch Statistical PERT videos on YouTube " xr:uid="{08374E97-AC7A-4A25-B2F2-CDD2C9BBE814}"/>
    <hyperlink ref="B32:H32" r:id="rId6" display="Connect with or follow me on LinkedIn" xr:uid="{6140314E-23D4-44BA-A898-27D9D7611CF9}"/>
    <hyperlink ref="B30:H30" r:id="rId7" display="Watch a Pluralsight course on Statistical PERT® Normal Edition" xr:uid="{CBC9BEEE-9120-440A-B808-ABC63721C4F9}"/>
    <hyperlink ref="B43" r:id="rId8" display="See the GNU General Public License for more details (http://www.gnu.org/licenses/)." xr:uid="{C9EBA1AD-CA82-42F2-8B3E-CB2FF76BE4D2}"/>
    <hyperlink ref="B33:H33" r:id="rId9" location="newsletter" display="Subscribe to the SPERT® newsletter for monthly tips, free webinars, and new release notifications" xr:uid="{A3D13691-0AF6-452F-869C-91D3FA6A905F}"/>
  </hyperlinks>
  <pageMargins left="0.7" right="0.7" top="0.75" bottom="0.75" header="0.3" footer="0.3"/>
  <drawing r:id="rId10"/>
  <legacyDrawing r:id="rId11"/>
  <extLst>
    <ext xmlns:x14="http://schemas.microsoft.com/office/spreadsheetml/2009/9/main" uri="{78C0D931-6437-407d-A8EE-F0AAD7539E65}">
      <x14:conditionalFormattings>
        <x14:conditionalFormatting xmlns:xm="http://schemas.microsoft.com/office/excel/2006/main">
          <x14:cfRule type="expression" priority="1" id="{A11AD100-3597-4101-A303-099F1E6FB622}">
            <xm:f>IF($B$7=VLookups!$A$22,TRUE,FALSE)</xm:f>
            <x14:dxf>
              <numFmt numFmtId="9" formatCode="&quot;$&quot;#,##0_);\(&quot;$&quot;#,##0\)"/>
            </x14:dxf>
          </x14:cfRule>
          <xm:sqref>B4:T5</xm:sqref>
        </x14:conditionalFormatting>
        <x14:conditionalFormatting xmlns:xm="http://schemas.microsoft.com/office/excel/2006/main">
          <x14:cfRule type="expression" priority="4" id="{36FA4D5C-2A70-4407-BB66-944C0ED4C4CF}">
            <xm:f>IF($B$7=VLookups!$A$22,TRUE,FALSE)</xm:f>
            <x14:dxf>
              <numFmt numFmtId="9" formatCode="&quot;$&quot;#,##0_);\(&quot;$&quot;#,##0\)"/>
            </x14:dxf>
          </x14:cfRule>
          <xm:sqref>D17:D18</xm:sqref>
        </x14:conditionalFormatting>
        <x14:conditionalFormatting xmlns:xm="http://schemas.microsoft.com/office/excel/2006/main">
          <x14:cfRule type="expression" priority="3" id="{34361632-45FE-4BDD-8EBE-04EB4E09C4CC}">
            <xm:f>IF($B$7=VLookups!$A$22,TRUE,FALSE)</xm:f>
            <x14:dxf>
              <numFmt numFmtId="9" formatCode="&quot;$&quot;#,##0_);\(&quot;$&quot;#,##0\)"/>
            </x14:dxf>
          </x14:cfRule>
          <xm:sqref>D21:D22</xm:sqref>
        </x14:conditionalFormatting>
        <x14:conditionalFormatting xmlns:xm="http://schemas.microsoft.com/office/excel/2006/main">
          <x14:cfRule type="expression" priority="16" id="{43D3DB08-B15E-4B8A-961D-2AB27B3BC3EB}">
            <xm:f>IF($B$7=VLookups!$A$22,TRUE,FALSE)</xm:f>
            <x14:dxf>
              <numFmt numFmtId="9" formatCode="&quot;$&quot;#,##0_);\(&quot;$&quot;#,##0\)"/>
            </x14:dxf>
          </x14:cfRule>
          <xm:sqref>J5:K5</xm:sqref>
        </x14:conditionalFormatting>
        <x14:conditionalFormatting xmlns:xm="http://schemas.microsoft.com/office/excel/2006/main">
          <x14:cfRule type="expression" priority="18" id="{8B43FFA9-93F6-47D7-B501-41C80A0F2878}">
            <xm:f>IF($B$7=VLookups!$A$22,TRUE,FALSE)</xm:f>
            <x14:dxf>
              <numFmt numFmtId="9" formatCode="&quot;$&quot;#,##0_);\(&quot;$&quot;#,##0\)"/>
            </x14:dxf>
          </x14:cfRule>
          <xm:sqref>K4</xm:sqref>
        </x14:conditionalFormatting>
        <x14:conditionalFormatting xmlns:xm="http://schemas.microsoft.com/office/excel/2006/main">
          <x14:cfRule type="expression" priority="11" id="{7AE45466-5F0B-4CDF-A4AD-CBB4DCF71773}">
            <xm:f>IF($B$7=VLookups!$A$22,TRUE,FALSE)</xm:f>
            <x14:dxf>
              <numFmt numFmtId="9" formatCode="&quot;$&quot;#,##0_);\(&quot;$&quot;#,##0\)"/>
            </x14:dxf>
          </x14:cfRule>
          <xm:sqref>M7</xm:sqref>
        </x14:conditionalFormatting>
        <x14:conditionalFormatting xmlns:xm="http://schemas.microsoft.com/office/excel/2006/main">
          <x14:cfRule type="expression" priority="5" id="{0EE093EF-DA87-47B6-9E8A-4C58D0A5845C}">
            <xm:f>IF($B$7=VLookups!$A$22,TRUE,FALSE)</xm:f>
            <x14:dxf>
              <numFmt numFmtId="9" formatCode="&quot;$&quot;#,##0_);\(&quot;$&quot;#,##0\)"/>
            </x14:dxf>
          </x14:cfRule>
          <xm:sqref>O7:T7</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39DB20C5-5A78-4A8D-BD87-3C755F08FC3A}">
          <x14:formula1>
            <xm:f>VLookups!$A$27:$A$33</xm:f>
          </x14:formula1>
          <xm:sqref>G10</xm:sqref>
        </x14:dataValidation>
        <x14:dataValidation type="list" allowBlank="1" showInputMessage="1" showErrorMessage="1" xr:uid="{3F19532C-FE79-4B06-995A-0E380C16E35B}">
          <x14:formula1>
            <xm:f>VLookups!$A$4:$A$13</xm:f>
          </x14:formula1>
          <xm:sqref>I5 H4:H5</xm:sqref>
        </x14:dataValidation>
        <x14:dataValidation type="list" allowBlank="1" showInputMessage="1" showErrorMessage="1" xr:uid="{A191FCBF-BF7E-4C56-A184-DDBD78F68C41}">
          <x14:formula1>
            <xm:f>VLookups!$A$17:$A$18</xm:f>
          </x14:formula1>
          <xm:sqref>M1</xm:sqref>
        </x14:dataValidation>
        <x14:dataValidation type="list" allowBlank="1" showInputMessage="1" showErrorMessage="1" xr:uid="{E2F40BAC-0704-49E9-A5DA-7DAD9D13E797}">
          <x14:formula1>
            <xm:f>VLookups!$A$22:$A$23</xm:f>
          </x14:formula1>
          <xm:sqref>B7:D7</xm:sqref>
        </x14:dataValidation>
      </x14:dataValidations>
    </ext>
    <ext xmlns:x14="http://schemas.microsoft.com/office/spreadsheetml/2009/9/main" uri="{05C60535-1F16-4fd2-B633-F4F36F0B64E0}">
      <x14:sparklineGroups xmlns:xm="http://schemas.microsoft.com/office/excel/2006/main">
        <x14:sparklineGroup displayEmptyCellsAs="gap" displayHidden="1" xr2:uid="{13628AFC-21EB-49CE-873C-A064A721EA02}">
          <x14:colorSeries theme="1"/>
          <x14:colorNegative rgb="FFD00000"/>
          <x14:colorAxis rgb="FF000000"/>
          <x14:colorMarkers rgb="FFD00000"/>
          <x14:colorFirst rgb="FFD00000"/>
          <x14:colorLast rgb="FFD00000"/>
          <x14:colorHigh rgb="FFD00000"/>
          <x14:colorLow rgb="FFD00000"/>
          <x14:sparklines>
            <x14:sparkline>
              <xm:f>'SPERT® 2001-2025'!HP4:PH4</xm:f>
              <xm:sqref>I4</xm:sqref>
            </x14:sparkline>
          </x14:sparklines>
        </x14:sparklineGroup>
      </x14:sparklineGroup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5930B-49C6-4620-AA69-674B01205CD8}">
  <dimension ref="A1:T133"/>
  <sheetViews>
    <sheetView showGridLines="0" workbookViewId="0">
      <pane ySplit="9" topLeftCell="A10" activePane="bottomLeft" state="frozen"/>
      <selection pane="bottomLeft" activeCell="K5" sqref="K5"/>
    </sheetView>
  </sheetViews>
  <sheetFormatPr defaultRowHeight="14.25"/>
  <cols>
    <col min="1" max="1" width="17.46484375" customWidth="1"/>
    <col min="4" max="4" width="10.1328125" customWidth="1"/>
    <col min="12" max="12" width="9.19921875" bestFit="1" customWidth="1"/>
    <col min="16" max="16" width="9.19921875" bestFit="1" customWidth="1"/>
    <col min="20" max="20" width="9.19921875" bestFit="1" customWidth="1"/>
  </cols>
  <sheetData>
    <row r="1" spans="1:20" ht="24" customHeight="1">
      <c r="A1" s="36" t="s">
        <v>845</v>
      </c>
    </row>
    <row r="2" spans="1:20">
      <c r="A2" s="184" t="s">
        <v>654</v>
      </c>
    </row>
    <row r="3" spans="1:20">
      <c r="A3" s="184" t="s">
        <v>655</v>
      </c>
    </row>
    <row r="4" spans="1:20">
      <c r="A4" s="184" t="s">
        <v>656</v>
      </c>
    </row>
    <row r="5" spans="1:20">
      <c r="A5" s="184" t="s">
        <v>657</v>
      </c>
    </row>
    <row r="6" spans="1:20">
      <c r="A6" s="184" t="s">
        <v>658</v>
      </c>
      <c r="J6" s="185" t="s">
        <v>659</v>
      </c>
      <c r="K6" s="186">
        <f>AVERAGE(C11:C115)</f>
        <v>93.142857142857139</v>
      </c>
      <c r="L6" s="187">
        <v>46023</v>
      </c>
      <c r="N6" s="185" t="s">
        <v>660</v>
      </c>
      <c r="O6" s="186">
        <f>AVERAGE(C66:C115)</f>
        <v>90.18</v>
      </c>
      <c r="P6" s="187">
        <v>46023</v>
      </c>
      <c r="R6" s="185" t="s">
        <v>661</v>
      </c>
      <c r="S6" s="186">
        <f>AVERAGE(C91:C115)</f>
        <v>89.12</v>
      </c>
      <c r="T6" s="187">
        <v>46023</v>
      </c>
    </row>
    <row r="7" spans="1:20">
      <c r="A7" s="184" t="s">
        <v>662</v>
      </c>
      <c r="J7" s="185" t="s">
        <v>821</v>
      </c>
      <c r="K7" s="186">
        <f>_xlfn.STDEV.P(C11:C115)</f>
        <v>7.5787027052047362</v>
      </c>
      <c r="L7" s="188">
        <f>L6+K6</f>
        <v>46116.142857142855</v>
      </c>
      <c r="N7" s="185" t="s">
        <v>821</v>
      </c>
      <c r="O7" s="186">
        <f>_xlfn.STDEV.P(C66:C115)</f>
        <v>6.8313688233032774</v>
      </c>
      <c r="P7" s="188">
        <f>P6+O6</f>
        <v>46113.18</v>
      </c>
      <c r="R7" s="185" t="s">
        <v>821</v>
      </c>
      <c r="S7" s="186">
        <f>_xlfn.STDEV.P(C91:C115)</f>
        <v>6.6951923049304565</v>
      </c>
      <c r="T7" s="188">
        <f>T6+S6</f>
        <v>46112.12</v>
      </c>
    </row>
    <row r="8" spans="1:20">
      <c r="A8" s="184" t="s">
        <v>664</v>
      </c>
      <c r="J8" s="185" t="s">
        <v>822</v>
      </c>
      <c r="K8" s="186">
        <f>MIN(C11:C115)</f>
        <v>74</v>
      </c>
      <c r="L8" s="188">
        <f>L6+K8</f>
        <v>46097</v>
      </c>
      <c r="N8" s="185" t="s">
        <v>822</v>
      </c>
      <c r="O8" s="186">
        <f>MIN(C66:C115)</f>
        <v>74</v>
      </c>
      <c r="P8" s="188">
        <f>P6+O8</f>
        <v>46097</v>
      </c>
      <c r="R8" s="185" t="s">
        <v>822</v>
      </c>
      <c r="S8" s="186">
        <f>MIN(C91:C115)</f>
        <v>76</v>
      </c>
      <c r="T8" s="188">
        <f>T6+S8</f>
        <v>46099</v>
      </c>
    </row>
    <row r="9" spans="1:20">
      <c r="A9" s="184"/>
      <c r="J9" s="185" t="s">
        <v>823</v>
      </c>
      <c r="K9" s="186">
        <f>MAX(C11:C115)</f>
        <v>108</v>
      </c>
      <c r="L9" s="188">
        <f>L6+K9</f>
        <v>46131</v>
      </c>
      <c r="N9" s="185" t="s">
        <v>823</v>
      </c>
      <c r="O9" s="186">
        <f>MAX(C66:C115)</f>
        <v>102</v>
      </c>
      <c r="P9" s="188">
        <f>P6+O9</f>
        <v>46125</v>
      </c>
      <c r="R9" s="185" t="s">
        <v>823</v>
      </c>
      <c r="S9" s="186">
        <f>MAX(C91:C115)</f>
        <v>100</v>
      </c>
      <c r="T9" s="188">
        <f>T6+S9</f>
        <v>46123</v>
      </c>
    </row>
    <row r="10" spans="1:20">
      <c r="A10" s="191" t="s">
        <v>665</v>
      </c>
      <c r="B10" s="189" t="s">
        <v>666</v>
      </c>
      <c r="C10" s="189" t="s">
        <v>667</v>
      </c>
      <c r="D10" s="189" t="s">
        <v>668</v>
      </c>
    </row>
    <row r="11" spans="1:20">
      <c r="A11" s="192" t="s">
        <v>669</v>
      </c>
      <c r="B11" s="187">
        <v>7672</v>
      </c>
      <c r="C11" s="186">
        <v>79</v>
      </c>
      <c r="D11" s="190">
        <f>B11+C11</f>
        <v>7751</v>
      </c>
    </row>
    <row r="12" spans="1:20">
      <c r="A12" s="192" t="s">
        <v>670</v>
      </c>
      <c r="B12" s="187">
        <v>8037</v>
      </c>
      <c r="C12" s="186">
        <v>97</v>
      </c>
      <c r="D12" s="190">
        <f t="shared" ref="D12:D75" si="0">B12+C12</f>
        <v>8134</v>
      </c>
      <c r="F12" s="236" t="s">
        <v>829</v>
      </c>
      <c r="G12" s="236"/>
      <c r="H12" s="236"/>
      <c r="I12" s="236"/>
      <c r="J12" s="236"/>
      <c r="K12" s="236"/>
      <c r="L12" s="236"/>
      <c r="M12" s="236"/>
      <c r="N12" s="236"/>
      <c r="O12" s="236"/>
      <c r="P12" s="236"/>
    </row>
    <row r="13" spans="1:20">
      <c r="A13" s="192" t="s">
        <v>671</v>
      </c>
      <c r="B13" s="187">
        <v>8402</v>
      </c>
      <c r="C13" s="186">
        <v>99</v>
      </c>
      <c r="D13" s="190">
        <f t="shared" si="0"/>
        <v>8501</v>
      </c>
    </row>
    <row r="14" spans="1:20">
      <c r="A14" s="192" t="s">
        <v>672</v>
      </c>
      <c r="B14" s="187">
        <v>8767</v>
      </c>
      <c r="C14" s="186">
        <v>104</v>
      </c>
      <c r="D14" s="190">
        <f t="shared" si="0"/>
        <v>8871</v>
      </c>
    </row>
    <row r="15" spans="1:20">
      <c r="A15" s="192" t="s">
        <v>673</v>
      </c>
      <c r="B15" s="187">
        <v>9133</v>
      </c>
      <c r="C15" s="186">
        <v>86</v>
      </c>
      <c r="D15" s="190">
        <f t="shared" si="0"/>
        <v>9219</v>
      </c>
    </row>
    <row r="16" spans="1:20">
      <c r="A16" s="192" t="s">
        <v>674</v>
      </c>
      <c r="B16" s="187">
        <v>9498</v>
      </c>
      <c r="C16" s="186">
        <v>101</v>
      </c>
      <c r="D16" s="190">
        <f t="shared" si="0"/>
        <v>9599</v>
      </c>
    </row>
    <row r="17" spans="1:4">
      <c r="A17" s="192" t="s">
        <v>675</v>
      </c>
      <c r="B17" s="187">
        <v>9863</v>
      </c>
      <c r="C17" s="186">
        <v>79</v>
      </c>
      <c r="D17" s="190">
        <f t="shared" si="0"/>
        <v>9942</v>
      </c>
    </row>
    <row r="18" spans="1:4">
      <c r="A18" s="192" t="s">
        <v>676</v>
      </c>
      <c r="B18" s="187">
        <v>10228</v>
      </c>
      <c r="C18" s="186">
        <v>99</v>
      </c>
      <c r="D18" s="190">
        <f t="shared" si="0"/>
        <v>10327</v>
      </c>
    </row>
    <row r="19" spans="1:4">
      <c r="A19" s="192" t="s">
        <v>677</v>
      </c>
      <c r="B19" s="187">
        <v>10594</v>
      </c>
      <c r="C19" s="186">
        <v>90</v>
      </c>
      <c r="D19" s="190">
        <f t="shared" si="0"/>
        <v>10684</v>
      </c>
    </row>
    <row r="20" spans="1:4">
      <c r="A20" s="192" t="s">
        <v>678</v>
      </c>
      <c r="B20" s="187">
        <v>10959</v>
      </c>
      <c r="C20" s="186">
        <v>91</v>
      </c>
      <c r="D20" s="190">
        <f t="shared" si="0"/>
        <v>11050</v>
      </c>
    </row>
    <row r="21" spans="1:4">
      <c r="A21" s="192" t="s">
        <v>679</v>
      </c>
      <c r="B21" s="187">
        <v>11324</v>
      </c>
      <c r="C21" s="186">
        <v>101</v>
      </c>
      <c r="D21" s="190">
        <f t="shared" si="0"/>
        <v>11425</v>
      </c>
    </row>
    <row r="22" spans="1:4">
      <c r="A22" s="192" t="s">
        <v>680</v>
      </c>
      <c r="B22" s="187">
        <v>11689</v>
      </c>
      <c r="C22" s="186">
        <v>106</v>
      </c>
      <c r="D22" s="190">
        <f t="shared" si="0"/>
        <v>11795</v>
      </c>
    </row>
    <row r="23" spans="1:4">
      <c r="A23" s="192" t="s">
        <v>681</v>
      </c>
      <c r="B23" s="187">
        <v>12055</v>
      </c>
      <c r="C23" s="186">
        <v>99</v>
      </c>
      <c r="D23" s="190">
        <f t="shared" si="0"/>
        <v>12154</v>
      </c>
    </row>
    <row r="24" spans="1:4">
      <c r="A24" s="192" t="s">
        <v>682</v>
      </c>
      <c r="B24" s="187">
        <v>12420</v>
      </c>
      <c r="C24" s="186">
        <v>105</v>
      </c>
      <c r="D24" s="190">
        <f t="shared" si="0"/>
        <v>12525</v>
      </c>
    </row>
    <row r="25" spans="1:4">
      <c r="A25" s="192" t="s">
        <v>683</v>
      </c>
      <c r="B25" s="187">
        <v>12785</v>
      </c>
      <c r="C25" s="186">
        <v>91</v>
      </c>
      <c r="D25" s="190">
        <f t="shared" si="0"/>
        <v>12876</v>
      </c>
    </row>
    <row r="26" spans="1:4">
      <c r="A26" s="192" t="s">
        <v>684</v>
      </c>
      <c r="B26" s="187">
        <v>13150</v>
      </c>
      <c r="C26" s="186">
        <v>98</v>
      </c>
      <c r="D26" s="190">
        <f t="shared" si="0"/>
        <v>13248</v>
      </c>
    </row>
    <row r="27" spans="1:4">
      <c r="A27" s="192" t="s">
        <v>685</v>
      </c>
      <c r="B27" s="187">
        <v>13516</v>
      </c>
      <c r="C27" s="186">
        <v>104</v>
      </c>
      <c r="D27" s="190">
        <f t="shared" si="0"/>
        <v>13620</v>
      </c>
    </row>
    <row r="28" spans="1:4">
      <c r="A28" s="192" t="s">
        <v>686</v>
      </c>
      <c r="B28" s="187">
        <v>13881</v>
      </c>
      <c r="C28" s="186">
        <v>84</v>
      </c>
      <c r="D28" s="190">
        <f t="shared" si="0"/>
        <v>13965</v>
      </c>
    </row>
    <row r="29" spans="1:4">
      <c r="A29" s="192" t="s">
        <v>687</v>
      </c>
      <c r="B29" s="187">
        <v>14246</v>
      </c>
      <c r="C29" s="186">
        <v>89</v>
      </c>
      <c r="D29" s="190">
        <f t="shared" si="0"/>
        <v>14335</v>
      </c>
    </row>
    <row r="30" spans="1:4">
      <c r="A30" s="192" t="s">
        <v>688</v>
      </c>
      <c r="B30" s="187">
        <v>14611</v>
      </c>
      <c r="C30" s="186">
        <v>104</v>
      </c>
      <c r="D30" s="190">
        <f t="shared" si="0"/>
        <v>14715</v>
      </c>
    </row>
    <row r="31" spans="1:4">
      <c r="A31" s="192" t="s">
        <v>689</v>
      </c>
      <c r="B31" s="187">
        <v>14977</v>
      </c>
      <c r="C31" s="186">
        <v>102</v>
      </c>
      <c r="D31" s="190">
        <f t="shared" si="0"/>
        <v>15079</v>
      </c>
    </row>
    <row r="32" spans="1:4">
      <c r="A32" s="192" t="s">
        <v>690</v>
      </c>
      <c r="B32" s="187">
        <v>15342</v>
      </c>
      <c r="C32" s="186">
        <v>95</v>
      </c>
      <c r="D32" s="190">
        <f t="shared" si="0"/>
        <v>15437</v>
      </c>
    </row>
    <row r="33" spans="1:4">
      <c r="A33" s="192" t="s">
        <v>691</v>
      </c>
      <c r="B33" s="187">
        <v>15707</v>
      </c>
      <c r="C33" s="186">
        <v>94</v>
      </c>
      <c r="D33" s="190">
        <f t="shared" si="0"/>
        <v>15801</v>
      </c>
    </row>
    <row r="34" spans="1:4">
      <c r="A34" s="192" t="s">
        <v>692</v>
      </c>
      <c r="B34" s="187">
        <v>16072</v>
      </c>
      <c r="C34" s="186">
        <v>100</v>
      </c>
      <c r="D34" s="190">
        <f t="shared" si="0"/>
        <v>16172</v>
      </c>
    </row>
    <row r="35" spans="1:4">
      <c r="A35" s="192" t="s">
        <v>693</v>
      </c>
      <c r="B35" s="187">
        <v>16438</v>
      </c>
      <c r="C35" s="186">
        <v>79</v>
      </c>
      <c r="D35" s="190">
        <f t="shared" si="0"/>
        <v>16517</v>
      </c>
    </row>
    <row r="36" spans="1:4">
      <c r="A36" s="192" t="s">
        <v>694</v>
      </c>
      <c r="B36" s="187">
        <v>16803</v>
      </c>
      <c r="C36" s="186">
        <v>82</v>
      </c>
      <c r="D36" s="190">
        <f t="shared" si="0"/>
        <v>16885</v>
      </c>
    </row>
    <row r="37" spans="1:4">
      <c r="A37" s="192" t="s">
        <v>695</v>
      </c>
      <c r="B37" s="187">
        <v>17168</v>
      </c>
      <c r="C37" s="186">
        <v>102</v>
      </c>
      <c r="D37" s="190">
        <f t="shared" si="0"/>
        <v>17270</v>
      </c>
    </row>
    <row r="38" spans="1:4">
      <c r="A38" s="192" t="s">
        <v>696</v>
      </c>
      <c r="B38" s="187">
        <v>17533</v>
      </c>
      <c r="C38" s="186">
        <v>88</v>
      </c>
      <c r="D38" s="190">
        <f t="shared" si="0"/>
        <v>17621</v>
      </c>
    </row>
    <row r="39" spans="1:4">
      <c r="A39" s="192" t="s">
        <v>697</v>
      </c>
      <c r="B39" s="187">
        <v>17899</v>
      </c>
      <c r="C39" s="186">
        <v>88</v>
      </c>
      <c r="D39" s="190">
        <f t="shared" si="0"/>
        <v>17987</v>
      </c>
    </row>
    <row r="40" spans="1:4">
      <c r="A40" s="192" t="s">
        <v>698</v>
      </c>
      <c r="B40" s="187">
        <v>18264</v>
      </c>
      <c r="C40" s="186">
        <v>99</v>
      </c>
      <c r="D40" s="190">
        <f t="shared" si="0"/>
        <v>18363</v>
      </c>
    </row>
    <row r="41" spans="1:4">
      <c r="A41" s="192" t="s">
        <v>699</v>
      </c>
      <c r="B41" s="187">
        <v>18629</v>
      </c>
      <c r="C41" s="186">
        <v>96</v>
      </c>
      <c r="D41" s="190">
        <f t="shared" si="0"/>
        <v>18725</v>
      </c>
    </row>
    <row r="42" spans="1:4">
      <c r="A42" s="192" t="s">
        <v>700</v>
      </c>
      <c r="B42" s="187">
        <v>18994</v>
      </c>
      <c r="C42" s="186">
        <v>100</v>
      </c>
      <c r="D42" s="190">
        <f t="shared" si="0"/>
        <v>19094</v>
      </c>
    </row>
    <row r="43" spans="1:4">
      <c r="A43" s="192" t="s">
        <v>701</v>
      </c>
      <c r="B43" s="187">
        <v>19360</v>
      </c>
      <c r="C43" s="186">
        <v>86</v>
      </c>
      <c r="D43" s="190">
        <f t="shared" si="0"/>
        <v>19446</v>
      </c>
    </row>
    <row r="44" spans="1:4">
      <c r="A44" s="192" t="s">
        <v>702</v>
      </c>
      <c r="B44" s="187">
        <v>19725</v>
      </c>
      <c r="C44" s="186">
        <v>96</v>
      </c>
      <c r="D44" s="190">
        <f t="shared" si="0"/>
        <v>19821</v>
      </c>
    </row>
    <row r="45" spans="1:4">
      <c r="A45" s="192" t="s">
        <v>703</v>
      </c>
      <c r="B45" s="187">
        <v>20090</v>
      </c>
      <c r="C45" s="186">
        <v>92</v>
      </c>
      <c r="D45" s="190">
        <f t="shared" si="0"/>
        <v>20182</v>
      </c>
    </row>
    <row r="46" spans="1:4">
      <c r="A46" s="192" t="s">
        <v>704</v>
      </c>
      <c r="B46" s="187">
        <v>20455</v>
      </c>
      <c r="C46" s="186">
        <v>97</v>
      </c>
      <c r="D46" s="190">
        <f t="shared" si="0"/>
        <v>20552</v>
      </c>
    </row>
    <row r="47" spans="1:4">
      <c r="A47" s="192" t="s">
        <v>705</v>
      </c>
      <c r="B47" s="187">
        <v>20821</v>
      </c>
      <c r="C47" s="186">
        <v>98</v>
      </c>
      <c r="D47" s="190">
        <f t="shared" si="0"/>
        <v>20919</v>
      </c>
    </row>
    <row r="48" spans="1:4">
      <c r="A48" s="192" t="s">
        <v>706</v>
      </c>
      <c r="B48" s="187">
        <v>21186</v>
      </c>
      <c r="C48" s="186">
        <v>108</v>
      </c>
      <c r="D48" s="190">
        <f t="shared" si="0"/>
        <v>21294</v>
      </c>
    </row>
    <row r="49" spans="1:4">
      <c r="A49" s="192" t="s">
        <v>707</v>
      </c>
      <c r="B49" s="187">
        <v>21551</v>
      </c>
      <c r="C49" s="186">
        <v>96</v>
      </c>
      <c r="D49" s="190">
        <f t="shared" si="0"/>
        <v>21647</v>
      </c>
    </row>
    <row r="50" spans="1:4">
      <c r="A50" s="192" t="s">
        <v>708</v>
      </c>
      <c r="B50" s="187">
        <v>21916</v>
      </c>
      <c r="C50" s="186">
        <v>105</v>
      </c>
      <c r="D50" s="190">
        <f t="shared" si="0"/>
        <v>22021</v>
      </c>
    </row>
    <row r="51" spans="1:4">
      <c r="A51" s="192" t="s">
        <v>709</v>
      </c>
      <c r="B51" s="187">
        <v>22282</v>
      </c>
      <c r="C51" s="186">
        <v>92</v>
      </c>
      <c r="D51" s="190">
        <f t="shared" si="0"/>
        <v>22374</v>
      </c>
    </row>
    <row r="52" spans="1:4">
      <c r="A52" s="192" t="s">
        <v>710</v>
      </c>
      <c r="B52" s="187">
        <v>22647</v>
      </c>
      <c r="C52" s="186">
        <v>97</v>
      </c>
      <c r="D52" s="190">
        <f t="shared" si="0"/>
        <v>22744</v>
      </c>
    </row>
    <row r="53" spans="1:4">
      <c r="A53" s="192" t="s">
        <v>711</v>
      </c>
      <c r="B53" s="187">
        <v>23012</v>
      </c>
      <c r="C53" s="186">
        <v>93</v>
      </c>
      <c r="D53" s="190">
        <f t="shared" si="0"/>
        <v>23105</v>
      </c>
    </row>
    <row r="54" spans="1:4">
      <c r="A54" s="192" t="s">
        <v>712</v>
      </c>
      <c r="B54" s="187">
        <v>23377</v>
      </c>
      <c r="C54" s="186">
        <v>102</v>
      </c>
      <c r="D54" s="190">
        <f t="shared" si="0"/>
        <v>23479</v>
      </c>
    </row>
    <row r="55" spans="1:4">
      <c r="A55" s="192" t="s">
        <v>713</v>
      </c>
      <c r="B55" s="187">
        <v>23743</v>
      </c>
      <c r="C55" s="186">
        <v>105</v>
      </c>
      <c r="D55" s="190">
        <f t="shared" si="0"/>
        <v>23848</v>
      </c>
    </row>
    <row r="56" spans="1:4">
      <c r="A56" s="192" t="s">
        <v>714</v>
      </c>
      <c r="B56" s="187">
        <v>24108</v>
      </c>
      <c r="C56" s="186">
        <v>95</v>
      </c>
      <c r="D56" s="190">
        <f t="shared" si="0"/>
        <v>24203</v>
      </c>
    </row>
    <row r="57" spans="1:4">
      <c r="A57" s="192" t="s">
        <v>715</v>
      </c>
      <c r="B57" s="187">
        <v>24473</v>
      </c>
      <c r="C57" s="186">
        <v>96</v>
      </c>
      <c r="D57" s="190">
        <f t="shared" si="0"/>
        <v>24569</v>
      </c>
    </row>
    <row r="58" spans="1:4">
      <c r="A58" s="192" t="s">
        <v>716</v>
      </c>
      <c r="B58" s="187">
        <v>24838</v>
      </c>
      <c r="C58" s="186">
        <v>90</v>
      </c>
      <c r="D58" s="190">
        <f t="shared" si="0"/>
        <v>24928</v>
      </c>
    </row>
    <row r="59" spans="1:4">
      <c r="A59" s="192" t="s">
        <v>717</v>
      </c>
      <c r="B59" s="187">
        <v>25204</v>
      </c>
      <c r="C59" s="186">
        <v>99</v>
      </c>
      <c r="D59" s="190">
        <f t="shared" si="0"/>
        <v>25303</v>
      </c>
    </row>
    <row r="60" spans="1:4">
      <c r="A60" s="192" t="s">
        <v>718</v>
      </c>
      <c r="B60" s="187">
        <v>25569</v>
      </c>
      <c r="C60" s="186">
        <v>106</v>
      </c>
      <c r="D60" s="190">
        <f t="shared" si="0"/>
        <v>25675</v>
      </c>
    </row>
    <row r="61" spans="1:4">
      <c r="A61" s="192" t="s">
        <v>719</v>
      </c>
      <c r="B61" s="187">
        <v>25934</v>
      </c>
      <c r="C61" s="186">
        <v>98</v>
      </c>
      <c r="D61" s="190">
        <f t="shared" si="0"/>
        <v>26032</v>
      </c>
    </row>
    <row r="62" spans="1:4">
      <c r="A62" s="192" t="s">
        <v>720</v>
      </c>
      <c r="B62" s="187">
        <v>26299</v>
      </c>
      <c r="C62" s="186">
        <v>102</v>
      </c>
      <c r="D62" s="190">
        <f t="shared" si="0"/>
        <v>26401</v>
      </c>
    </row>
    <row r="63" spans="1:4">
      <c r="A63" s="192" t="s">
        <v>721</v>
      </c>
      <c r="B63" s="187">
        <v>26665</v>
      </c>
      <c r="C63" s="186">
        <v>101</v>
      </c>
      <c r="D63" s="190">
        <f t="shared" si="0"/>
        <v>26766</v>
      </c>
    </row>
    <row r="64" spans="1:4">
      <c r="A64" s="192" t="s">
        <v>722</v>
      </c>
      <c r="B64" s="187">
        <v>27030</v>
      </c>
      <c r="C64" s="186">
        <v>93</v>
      </c>
      <c r="D64" s="190">
        <f t="shared" si="0"/>
        <v>27123</v>
      </c>
    </row>
    <row r="65" spans="1:4">
      <c r="A65" s="192" t="s">
        <v>723</v>
      </c>
      <c r="B65" s="187">
        <v>27395</v>
      </c>
      <c r="C65" s="186">
        <v>93</v>
      </c>
      <c r="D65" s="190">
        <f t="shared" si="0"/>
        <v>27488</v>
      </c>
    </row>
    <row r="66" spans="1:4">
      <c r="A66" s="192" t="s">
        <v>724</v>
      </c>
      <c r="B66" s="187">
        <v>27760</v>
      </c>
      <c r="C66" s="186">
        <v>83</v>
      </c>
      <c r="D66" s="190">
        <f t="shared" si="0"/>
        <v>27843</v>
      </c>
    </row>
    <row r="67" spans="1:4">
      <c r="A67" s="192" t="s">
        <v>725</v>
      </c>
      <c r="B67" s="187">
        <v>28126</v>
      </c>
      <c r="C67" s="186">
        <v>85</v>
      </c>
      <c r="D67" s="190">
        <f t="shared" si="0"/>
        <v>28211</v>
      </c>
    </row>
    <row r="68" spans="1:4">
      <c r="A68" s="192" t="s">
        <v>726</v>
      </c>
      <c r="B68" s="187">
        <v>28491</v>
      </c>
      <c r="C68" s="186">
        <v>102</v>
      </c>
      <c r="D68" s="190">
        <f t="shared" si="0"/>
        <v>28593</v>
      </c>
    </row>
    <row r="69" spans="1:4">
      <c r="A69" s="192" t="s">
        <v>727</v>
      </c>
      <c r="B69" s="187">
        <v>28856</v>
      </c>
      <c r="C69" s="186">
        <v>92</v>
      </c>
      <c r="D69" s="190">
        <f t="shared" si="0"/>
        <v>28948</v>
      </c>
    </row>
    <row r="70" spans="1:4">
      <c r="A70" s="192" t="s">
        <v>728</v>
      </c>
      <c r="B70" s="187">
        <v>29221</v>
      </c>
      <c r="C70" s="186">
        <v>97</v>
      </c>
      <c r="D70" s="190">
        <f t="shared" si="0"/>
        <v>29318</v>
      </c>
    </row>
    <row r="71" spans="1:4">
      <c r="A71" s="192" t="s">
        <v>729</v>
      </c>
      <c r="B71" s="187">
        <v>29587</v>
      </c>
      <c r="C71" s="186">
        <v>93</v>
      </c>
      <c r="D71" s="190">
        <f t="shared" si="0"/>
        <v>29680</v>
      </c>
    </row>
    <row r="72" spans="1:4">
      <c r="A72" s="192" t="s">
        <v>730</v>
      </c>
      <c r="B72" s="187">
        <v>29952</v>
      </c>
      <c r="C72" s="186">
        <v>97</v>
      </c>
      <c r="D72" s="190">
        <f t="shared" si="0"/>
        <v>30049</v>
      </c>
    </row>
    <row r="73" spans="1:4">
      <c r="A73" s="192" t="s">
        <v>731</v>
      </c>
      <c r="B73" s="187">
        <v>30317</v>
      </c>
      <c r="C73" s="186">
        <v>97</v>
      </c>
      <c r="D73" s="190">
        <f t="shared" si="0"/>
        <v>30414</v>
      </c>
    </row>
    <row r="74" spans="1:4">
      <c r="A74" s="192" t="s">
        <v>732</v>
      </c>
      <c r="B74" s="187">
        <v>30682</v>
      </c>
      <c r="C74" s="186">
        <v>94</v>
      </c>
      <c r="D74" s="190">
        <f t="shared" si="0"/>
        <v>30776</v>
      </c>
    </row>
    <row r="75" spans="1:4">
      <c r="A75" s="192" t="s">
        <v>733</v>
      </c>
      <c r="B75" s="187">
        <v>31048</v>
      </c>
      <c r="C75" s="186">
        <v>97</v>
      </c>
      <c r="D75" s="190">
        <f t="shared" si="0"/>
        <v>31145</v>
      </c>
    </row>
    <row r="76" spans="1:4">
      <c r="A76" s="192" t="s">
        <v>734</v>
      </c>
      <c r="B76" s="187">
        <v>31413</v>
      </c>
      <c r="C76" s="186">
        <v>92</v>
      </c>
      <c r="D76" s="190">
        <f t="shared" ref="D76:D115" si="1">B76+C76</f>
        <v>31505</v>
      </c>
    </row>
    <row r="77" spans="1:4">
      <c r="A77" s="192" t="s">
        <v>735</v>
      </c>
      <c r="B77" s="187">
        <v>31778</v>
      </c>
      <c r="C77" s="186">
        <v>87</v>
      </c>
      <c r="D77" s="190">
        <f t="shared" si="1"/>
        <v>31865</v>
      </c>
    </row>
    <row r="78" spans="1:4">
      <c r="A78" s="192" t="s">
        <v>736</v>
      </c>
      <c r="B78" s="187">
        <v>32143</v>
      </c>
      <c r="C78" s="186">
        <v>91</v>
      </c>
      <c r="D78" s="190">
        <f t="shared" si="1"/>
        <v>32234</v>
      </c>
    </row>
    <row r="79" spans="1:4">
      <c r="A79" s="192" t="s">
        <v>737</v>
      </c>
      <c r="B79" s="187">
        <v>32509</v>
      </c>
      <c r="C79" s="186">
        <v>88</v>
      </c>
      <c r="D79" s="190">
        <f t="shared" si="1"/>
        <v>32597</v>
      </c>
    </row>
    <row r="80" spans="1:4">
      <c r="A80" s="192" t="s">
        <v>738</v>
      </c>
      <c r="B80" s="187">
        <v>32874</v>
      </c>
      <c r="C80" s="186">
        <v>74</v>
      </c>
      <c r="D80" s="190">
        <f t="shared" si="1"/>
        <v>32948</v>
      </c>
    </row>
    <row r="81" spans="1:4">
      <c r="A81" s="192" t="s">
        <v>739</v>
      </c>
      <c r="B81" s="187">
        <v>33239</v>
      </c>
      <c r="C81" s="186">
        <v>88</v>
      </c>
      <c r="D81" s="190">
        <f t="shared" si="1"/>
        <v>33327</v>
      </c>
    </row>
    <row r="82" spans="1:4">
      <c r="A82" s="192" t="s">
        <v>740</v>
      </c>
      <c r="B82" s="187">
        <v>33604</v>
      </c>
      <c r="C82" s="186">
        <v>98</v>
      </c>
      <c r="D82" s="190">
        <f t="shared" si="1"/>
        <v>33702</v>
      </c>
    </row>
    <row r="83" spans="1:4">
      <c r="A83" s="192" t="s">
        <v>741</v>
      </c>
      <c r="B83" s="187">
        <v>33970</v>
      </c>
      <c r="C83" s="186">
        <v>101</v>
      </c>
      <c r="D83" s="190">
        <f t="shared" si="1"/>
        <v>34071</v>
      </c>
    </row>
    <row r="84" spans="1:4">
      <c r="A84" s="192" t="s">
        <v>742</v>
      </c>
      <c r="B84" s="187">
        <v>34335</v>
      </c>
      <c r="C84" s="186">
        <v>95</v>
      </c>
      <c r="D84" s="190">
        <f t="shared" si="1"/>
        <v>34430</v>
      </c>
    </row>
    <row r="85" spans="1:4">
      <c r="A85" s="192" t="s">
        <v>743</v>
      </c>
      <c r="B85" s="187">
        <v>34700</v>
      </c>
      <c r="C85" s="186">
        <v>92</v>
      </c>
      <c r="D85" s="190">
        <f t="shared" si="1"/>
        <v>34792</v>
      </c>
    </row>
    <row r="86" spans="1:4">
      <c r="A86" s="192" t="s">
        <v>744</v>
      </c>
      <c r="B86" s="187">
        <v>35065</v>
      </c>
      <c r="C86" s="186">
        <v>95</v>
      </c>
      <c r="D86" s="190">
        <f t="shared" si="1"/>
        <v>35160</v>
      </c>
    </row>
    <row r="87" spans="1:4">
      <c r="A87" s="192" t="s">
        <v>745</v>
      </c>
      <c r="B87" s="187">
        <v>35431</v>
      </c>
      <c r="C87" s="186">
        <v>85</v>
      </c>
      <c r="D87" s="190">
        <f t="shared" si="1"/>
        <v>35516</v>
      </c>
    </row>
    <row r="88" spans="1:4">
      <c r="A88" s="192" t="s">
        <v>746</v>
      </c>
      <c r="B88" s="187">
        <v>35796</v>
      </c>
      <c r="C88" s="186">
        <v>86</v>
      </c>
      <c r="D88" s="190">
        <f t="shared" si="1"/>
        <v>35882</v>
      </c>
    </row>
    <row r="89" spans="1:4">
      <c r="A89" s="192" t="s">
        <v>747</v>
      </c>
      <c r="B89" s="187">
        <v>36161</v>
      </c>
      <c r="C89" s="186">
        <v>95</v>
      </c>
      <c r="D89" s="190">
        <f t="shared" si="1"/>
        <v>36256</v>
      </c>
    </row>
    <row r="90" spans="1:4">
      <c r="A90" s="192" t="s">
        <v>748</v>
      </c>
      <c r="B90" s="187">
        <v>36526</v>
      </c>
      <c r="C90" s="186">
        <v>77</v>
      </c>
      <c r="D90" s="190">
        <f t="shared" si="1"/>
        <v>36603</v>
      </c>
    </row>
    <row r="91" spans="1:4">
      <c r="A91" s="192" t="s">
        <v>749</v>
      </c>
      <c r="B91" s="187">
        <v>36892</v>
      </c>
      <c r="C91" s="186">
        <v>96</v>
      </c>
      <c r="D91" s="190">
        <f t="shared" si="1"/>
        <v>36988</v>
      </c>
    </row>
    <row r="92" spans="1:4">
      <c r="A92" s="192" t="s">
        <v>750</v>
      </c>
      <c r="B92" s="187">
        <v>37257</v>
      </c>
      <c r="C92" s="186">
        <v>92</v>
      </c>
      <c r="D92" s="190">
        <f t="shared" si="1"/>
        <v>37349</v>
      </c>
    </row>
    <row r="93" spans="1:4">
      <c r="A93" s="192" t="s">
        <v>751</v>
      </c>
      <c r="B93" s="187">
        <v>37622</v>
      </c>
      <c r="C93" s="186">
        <v>92</v>
      </c>
      <c r="D93" s="190">
        <f t="shared" si="1"/>
        <v>37714</v>
      </c>
    </row>
    <row r="94" spans="1:4">
      <c r="A94" s="192" t="s">
        <v>752</v>
      </c>
      <c r="B94" s="187">
        <v>37987</v>
      </c>
      <c r="C94" s="186">
        <v>91</v>
      </c>
      <c r="D94" s="190">
        <f t="shared" si="1"/>
        <v>38078</v>
      </c>
    </row>
    <row r="95" spans="1:4">
      <c r="A95" s="192" t="s">
        <v>753</v>
      </c>
      <c r="B95" s="187">
        <v>38353</v>
      </c>
      <c r="C95" s="186">
        <v>99</v>
      </c>
      <c r="D95" s="190">
        <f t="shared" si="1"/>
        <v>38452</v>
      </c>
    </row>
    <row r="96" spans="1:4">
      <c r="A96" s="192" t="s">
        <v>754</v>
      </c>
      <c r="B96" s="187">
        <v>38718</v>
      </c>
      <c r="C96" s="186">
        <v>89</v>
      </c>
      <c r="D96" s="190">
        <f t="shared" si="1"/>
        <v>38807</v>
      </c>
    </row>
    <row r="97" spans="1:8">
      <c r="A97" s="192" t="s">
        <v>755</v>
      </c>
      <c r="B97" s="187">
        <v>39083</v>
      </c>
      <c r="C97" s="186">
        <v>91</v>
      </c>
      <c r="D97" s="190">
        <f t="shared" si="1"/>
        <v>39174</v>
      </c>
    </row>
    <row r="98" spans="1:8">
      <c r="A98" s="192" t="s">
        <v>756</v>
      </c>
      <c r="B98" s="187">
        <v>39448</v>
      </c>
      <c r="C98" s="186">
        <v>86</v>
      </c>
      <c r="D98" s="190">
        <f t="shared" si="1"/>
        <v>39534</v>
      </c>
    </row>
    <row r="99" spans="1:8">
      <c r="A99" s="192" t="s">
        <v>757</v>
      </c>
      <c r="B99" s="187">
        <v>39814</v>
      </c>
      <c r="C99" s="186">
        <v>91</v>
      </c>
      <c r="D99" s="190">
        <f t="shared" si="1"/>
        <v>39905</v>
      </c>
    </row>
    <row r="100" spans="1:8">
      <c r="A100" s="192" t="s">
        <v>758</v>
      </c>
      <c r="B100" s="187">
        <v>40179</v>
      </c>
      <c r="C100" s="186">
        <v>90</v>
      </c>
      <c r="D100" s="190">
        <f t="shared" si="1"/>
        <v>40269</v>
      </c>
    </row>
    <row r="101" spans="1:8">
      <c r="A101" s="192" t="s">
        <v>759</v>
      </c>
      <c r="B101" s="187">
        <v>40544</v>
      </c>
      <c r="C101" s="186">
        <v>88</v>
      </c>
      <c r="D101" s="190">
        <f t="shared" si="1"/>
        <v>40632</v>
      </c>
    </row>
    <row r="102" spans="1:8">
      <c r="A102" s="192" t="s">
        <v>760</v>
      </c>
      <c r="B102" s="187">
        <v>40909</v>
      </c>
      <c r="C102" s="186">
        <v>80</v>
      </c>
      <c r="D102" s="190">
        <f t="shared" si="1"/>
        <v>40989</v>
      </c>
    </row>
    <row r="103" spans="1:8">
      <c r="A103" s="192" t="s">
        <v>761</v>
      </c>
      <c r="B103" s="187">
        <v>41275</v>
      </c>
      <c r="C103" s="186">
        <v>99</v>
      </c>
      <c r="D103" s="190">
        <f t="shared" si="1"/>
        <v>41374</v>
      </c>
    </row>
    <row r="104" spans="1:8">
      <c r="A104" s="192" t="s">
        <v>762</v>
      </c>
      <c r="B104" s="187">
        <v>41640</v>
      </c>
      <c r="C104" s="186">
        <v>100</v>
      </c>
      <c r="D104" s="190">
        <f t="shared" si="1"/>
        <v>41740</v>
      </c>
    </row>
    <row r="105" spans="1:8">
      <c r="A105" s="192" t="s">
        <v>763</v>
      </c>
      <c r="B105" s="187">
        <v>42005</v>
      </c>
      <c r="C105" s="186">
        <v>100</v>
      </c>
      <c r="D105" s="190">
        <f t="shared" si="1"/>
        <v>42105</v>
      </c>
    </row>
    <row r="106" spans="1:8">
      <c r="A106" s="192" t="s">
        <v>764</v>
      </c>
      <c r="B106" s="187">
        <v>42370</v>
      </c>
      <c r="C106" s="186">
        <v>85</v>
      </c>
      <c r="D106" s="190">
        <f t="shared" si="1"/>
        <v>42455</v>
      </c>
    </row>
    <row r="107" spans="1:8">
      <c r="A107" s="192" t="s">
        <v>765</v>
      </c>
      <c r="B107" s="187">
        <v>42736</v>
      </c>
      <c r="C107" s="186">
        <v>84</v>
      </c>
      <c r="D107" s="190">
        <f t="shared" si="1"/>
        <v>42820</v>
      </c>
    </row>
    <row r="108" spans="1:8">
      <c r="A108" s="192" t="s">
        <v>766</v>
      </c>
      <c r="B108" s="187">
        <v>43101</v>
      </c>
      <c r="C108" s="186">
        <v>95</v>
      </c>
      <c r="D108" s="190">
        <f t="shared" si="1"/>
        <v>43196</v>
      </c>
    </row>
    <row r="109" spans="1:8">
      <c r="A109" s="192" t="s">
        <v>767</v>
      </c>
      <c r="B109" s="187">
        <v>43466</v>
      </c>
      <c r="C109" s="186">
        <v>91</v>
      </c>
      <c r="D109" s="190">
        <f t="shared" si="1"/>
        <v>43557</v>
      </c>
    </row>
    <row r="110" spans="1:8">
      <c r="A110" s="192" t="s">
        <v>768</v>
      </c>
      <c r="B110" s="187">
        <v>43831</v>
      </c>
      <c r="C110" s="186">
        <v>80</v>
      </c>
      <c r="D110" s="190">
        <f t="shared" si="1"/>
        <v>43911</v>
      </c>
    </row>
    <row r="111" spans="1:8">
      <c r="A111" s="192" t="s">
        <v>769</v>
      </c>
      <c r="B111" s="187">
        <v>44197</v>
      </c>
      <c r="C111" s="186">
        <v>87</v>
      </c>
      <c r="D111" s="190">
        <f t="shared" ref="D111:D112" si="2">B111+C111</f>
        <v>44284</v>
      </c>
    </row>
    <row r="112" spans="1:8">
      <c r="A112" s="192"/>
      <c r="B112" s="187">
        <v>44562</v>
      </c>
      <c r="C112" s="186">
        <v>79</v>
      </c>
      <c r="D112" s="190">
        <f t="shared" si="2"/>
        <v>44641</v>
      </c>
      <c r="E112" s="239" t="s">
        <v>846</v>
      </c>
      <c r="F112" s="239"/>
      <c r="G112" s="239"/>
      <c r="H112" s="239"/>
    </row>
    <row r="113" spans="1:9">
      <c r="A113" s="192"/>
      <c r="B113" s="187">
        <v>44927</v>
      </c>
      <c r="C113" s="186">
        <v>81</v>
      </c>
      <c r="D113" s="190">
        <f t="shared" si="1"/>
        <v>45008</v>
      </c>
      <c r="E113" s="239" t="s">
        <v>846</v>
      </c>
      <c r="F113" s="239"/>
      <c r="G113" s="239"/>
      <c r="H113" s="239"/>
    </row>
    <row r="114" spans="1:9">
      <c r="A114" s="192"/>
      <c r="B114" s="187">
        <v>45292</v>
      </c>
      <c r="C114" s="186">
        <v>76</v>
      </c>
      <c r="D114" s="190">
        <f t="shared" si="1"/>
        <v>45368</v>
      </c>
      <c r="E114" s="239" t="s">
        <v>846</v>
      </c>
      <c r="F114" s="239"/>
      <c r="G114" s="239"/>
      <c r="H114" s="239"/>
    </row>
    <row r="115" spans="1:9">
      <c r="A115" s="192"/>
      <c r="B115" s="187">
        <v>45658</v>
      </c>
      <c r="C115" s="186">
        <v>86</v>
      </c>
      <c r="D115" s="190">
        <f t="shared" si="1"/>
        <v>45744</v>
      </c>
      <c r="E115" s="239" t="s">
        <v>846</v>
      </c>
      <c r="F115" s="239"/>
      <c r="G115" s="239"/>
      <c r="H115" s="239"/>
    </row>
    <row r="118" spans="1:9">
      <c r="A118" s="193" t="str">
        <f>CONCATENATE("Version ",'Change Log'!$B$3," – © 2022-",YEAR('Change Log'!$A$3),IF('Change Log'!$C$3="William W. Davis",", William W. Davis, MSPM, PMP",CONCATENATE(", original copyright holder is William W. Davis, MSPM, PMP; later modified by ",'Change Log'!$C$3)))</f>
        <v>Version 1.4 – © 2022-2025, William W. Davis, MSPM, PMP</v>
      </c>
      <c r="B118" s="3"/>
      <c r="C118" s="3"/>
      <c r="D118" s="3"/>
      <c r="E118" s="2"/>
      <c r="F118" s="2"/>
      <c r="G118" s="3"/>
    </row>
    <row r="119" spans="1:9">
      <c r="A119" s="238" t="s">
        <v>49</v>
      </c>
      <c r="B119" s="238"/>
      <c r="C119" s="238"/>
      <c r="D119" s="238"/>
      <c r="E119" s="238"/>
      <c r="F119" s="238"/>
      <c r="G119" s="238"/>
    </row>
    <row r="120" spans="1:9">
      <c r="A120" s="238" t="s">
        <v>50</v>
      </c>
      <c r="B120" s="238"/>
      <c r="C120" s="238"/>
      <c r="D120" s="238"/>
      <c r="E120" s="238"/>
      <c r="F120" s="238"/>
      <c r="G120" s="238"/>
    </row>
    <row r="121" spans="1:9">
      <c r="A121" s="238" t="s">
        <v>47</v>
      </c>
      <c r="B121" s="238"/>
      <c r="C121" s="238"/>
      <c r="D121" s="238"/>
      <c r="E121" s="238"/>
      <c r="F121" s="238"/>
      <c r="G121" s="238"/>
    </row>
    <row r="122" spans="1:9">
      <c r="A122" s="238" t="s">
        <v>91</v>
      </c>
      <c r="B122" s="238"/>
      <c r="C122" s="238"/>
      <c r="D122" s="238"/>
      <c r="E122" s="238"/>
      <c r="F122" s="238"/>
      <c r="G122" s="238"/>
    </row>
    <row r="123" spans="1:9">
      <c r="A123" s="238" t="s">
        <v>826</v>
      </c>
      <c r="B123" s="238"/>
      <c r="C123" s="238"/>
      <c r="D123" s="238"/>
      <c r="E123" s="238"/>
      <c r="F123" s="238"/>
      <c r="G123" s="238"/>
      <c r="H123" s="238"/>
      <c r="I123" s="238"/>
    </row>
    <row r="124" spans="1:9">
      <c r="A124" s="194" t="s">
        <v>86</v>
      </c>
      <c r="B124" s="3"/>
      <c r="C124" s="3"/>
      <c r="D124" s="3"/>
      <c r="E124" s="2"/>
      <c r="F124" s="2"/>
      <c r="G124" s="3"/>
    </row>
    <row r="125" spans="1:9">
      <c r="A125" s="194" t="s">
        <v>46</v>
      </c>
      <c r="B125" s="3"/>
      <c r="C125" s="3"/>
      <c r="D125" s="3"/>
      <c r="E125" s="2"/>
      <c r="F125" s="2"/>
      <c r="G125" s="3"/>
    </row>
    <row r="126" spans="1:9">
      <c r="A126" s="194" t="s">
        <v>85</v>
      </c>
      <c r="B126" s="3"/>
      <c r="C126" s="3"/>
      <c r="D126" s="2"/>
      <c r="E126" s="2"/>
      <c r="F126" s="3"/>
      <c r="G126" s="2"/>
    </row>
    <row r="127" spans="1:9">
      <c r="A127" s="194" t="s">
        <v>87</v>
      </c>
      <c r="B127" s="3"/>
      <c r="C127" s="3"/>
      <c r="D127" s="2"/>
      <c r="E127" s="2"/>
      <c r="F127" s="3"/>
      <c r="G127" s="2"/>
    </row>
    <row r="128" spans="1:9">
      <c r="A128" s="194" t="s">
        <v>608</v>
      </c>
      <c r="B128" s="3"/>
      <c r="C128" s="3"/>
      <c r="D128" s="2"/>
      <c r="E128" s="2"/>
      <c r="F128" s="3"/>
      <c r="G128" s="2"/>
    </row>
    <row r="129" spans="1:7">
      <c r="A129" s="194" t="s">
        <v>609</v>
      </c>
      <c r="B129" s="3"/>
      <c r="C129" s="3"/>
      <c r="D129" s="2"/>
      <c r="E129" s="2"/>
      <c r="F129" s="3"/>
      <c r="G129" s="2"/>
    </row>
    <row r="130" spans="1:7">
      <c r="A130" s="194"/>
      <c r="D130" s="1"/>
      <c r="E130" s="1"/>
      <c r="G130" s="1"/>
    </row>
    <row r="131" spans="1:7">
      <c r="A131" s="194" t="s">
        <v>610</v>
      </c>
      <c r="D131" s="1"/>
      <c r="E131" s="1"/>
      <c r="G131" s="1"/>
    </row>
    <row r="132" spans="1:7">
      <c r="A132" s="194" t="s">
        <v>45</v>
      </c>
      <c r="D132" s="1"/>
      <c r="E132" s="1"/>
      <c r="G132" s="1"/>
    </row>
    <row r="133" spans="1:7">
      <c r="A133" s="237" t="s">
        <v>613</v>
      </c>
      <c r="B133" s="237"/>
      <c r="C133" s="237"/>
      <c r="D133" s="237"/>
      <c r="E133" s="237"/>
      <c r="F133" s="237"/>
      <c r="G133" s="237"/>
    </row>
  </sheetData>
  <mergeCells count="11">
    <mergeCell ref="F12:P12"/>
    <mergeCell ref="A133:G133"/>
    <mergeCell ref="A119:G119"/>
    <mergeCell ref="A120:G120"/>
    <mergeCell ref="A121:G121"/>
    <mergeCell ref="A122:G122"/>
    <mergeCell ref="E112:H112"/>
    <mergeCell ref="E113:H113"/>
    <mergeCell ref="E114:H114"/>
    <mergeCell ref="A123:I123"/>
    <mergeCell ref="E115:H115"/>
  </mergeCells>
  <hyperlinks>
    <hyperlink ref="F12:O12" r:id="rId1" display="The original data for this worksheet came from the United States Environmental Protection Agency." xr:uid="{4CA6D445-EF19-4A94-B963-123B6DF8B8DE}"/>
    <hyperlink ref="A119" r:id="rId2" display="Download more FREE Statistical PERT templates at https://www.statisticalpert.com" xr:uid="{C77BC21C-110E-4BAE-A2DD-174831DA71A2}"/>
    <hyperlink ref="A120" r:id="rId3" display="Take a Pluralsight course on Statistical PERT" xr:uid="{5EB9A11D-B0A8-4E7A-B22D-2675186C42EB}"/>
    <hyperlink ref="A121" r:id="rId4" xr:uid="{D34A2B6E-E41D-416A-9D2E-716396D7C21A}"/>
    <hyperlink ref="A123" r:id="rId5" display="Follow Statistical PERT on Twitter to learn when new updates are released" xr:uid="{D39D4D66-64E7-4EEE-8217-65BC68B0851F}"/>
    <hyperlink ref="A121:G121" r:id="rId6" display="Watch Statistical PERT videos on YouTube " xr:uid="{B2B5B8E8-7C78-4817-AF16-62F0629DB8E1}"/>
    <hyperlink ref="A122:G122" r:id="rId7" display="Connect with or follow me on LinkedIn" xr:uid="{B759AAA8-F38D-4C99-9EBC-AFFF26B15E10}"/>
    <hyperlink ref="A120:G120" r:id="rId8" display="Watch a Pluralsight course on Statistical PERT® Normal Edition" xr:uid="{3C55E3D8-5535-4594-A5BF-6FCF7A15EC0B}"/>
    <hyperlink ref="A133" r:id="rId9" display="See the GNU General Public License for more details (http://www.gnu.org/licenses/)." xr:uid="{E1DC8217-011A-492A-ADB5-57288167BC24}"/>
    <hyperlink ref="A123:G123" r:id="rId10" location="newsletter" display="Subscribe to the SPERT® newsletter for monthly tips, free webinars, and new release notifications" xr:uid="{F86E4E4B-528A-43DC-9FAF-B86FEE3524CD}"/>
    <hyperlink ref="E115:H115" r:id="rId11" display="&lt;&lt;-- 2023 obtained from this site" xr:uid="{1F0592DC-67CA-45BA-BF11-CED6A2823ADA}"/>
    <hyperlink ref="E112:H114" r:id="rId12" display="&lt;&lt;-- 2023 obtained from this site" xr:uid="{BB10836D-DABE-42E6-A655-B72D6705653E}"/>
  </hyperlinks>
  <pageMargins left="0.7" right="0.7" top="0.75" bottom="0.75" header="0.3" footer="0.3"/>
  <pageSetup orientation="portrait" horizontalDpi="300" verticalDpi="300" r:id="rId13"/>
  <drawing r:id="rId1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53"/>
  <sheetViews>
    <sheetView showGridLines="0" workbookViewId="0">
      <selection activeCell="A4" sqref="A4"/>
    </sheetView>
  </sheetViews>
  <sheetFormatPr defaultRowHeight="14.25"/>
  <cols>
    <col min="1" max="1" width="35.73046875" customWidth="1"/>
    <col min="2" max="3" width="10.53125" customWidth="1"/>
    <col min="4" max="4" width="11.1328125" bestFit="1" customWidth="1"/>
    <col min="5" max="5" width="10.53125" customWidth="1"/>
  </cols>
  <sheetData>
    <row r="1" spans="1:17" ht="18">
      <c r="A1" s="36" t="s">
        <v>622</v>
      </c>
    </row>
    <row r="3" spans="1:17">
      <c r="A3" s="37" t="s">
        <v>16</v>
      </c>
      <c r="B3" s="38" t="s">
        <v>17</v>
      </c>
      <c r="C3" s="39" t="s">
        <v>22</v>
      </c>
      <c r="D3" s="39" t="s">
        <v>5</v>
      </c>
      <c r="E3" s="39" t="s">
        <v>23</v>
      </c>
    </row>
    <row r="4" spans="1:17">
      <c r="A4" s="131" t="s">
        <v>7</v>
      </c>
      <c r="B4" s="104">
        <v>7.0710678118654752E-2</v>
      </c>
      <c r="C4" s="40">
        <v>1</v>
      </c>
      <c r="D4" s="40">
        <v>98</v>
      </c>
      <c r="E4" s="40">
        <v>1</v>
      </c>
    </row>
    <row r="5" spans="1:17">
      <c r="A5" s="131" t="s">
        <v>623</v>
      </c>
      <c r="B5" s="104">
        <v>0.1</v>
      </c>
      <c r="C5" s="40">
        <v>2</v>
      </c>
      <c r="D5" s="40">
        <v>96</v>
      </c>
      <c r="E5" s="40">
        <v>2</v>
      </c>
      <c r="G5" s="130"/>
      <c r="H5" s="133" t="s">
        <v>25</v>
      </c>
      <c r="I5" s="41"/>
      <c r="J5" s="41"/>
      <c r="K5" s="41"/>
      <c r="L5" s="41"/>
      <c r="M5" s="41"/>
      <c r="N5" s="41"/>
      <c r="O5" s="41"/>
      <c r="P5" s="139"/>
      <c r="Q5" s="134"/>
    </row>
    <row r="6" spans="1:17">
      <c r="A6" s="131" t="s">
        <v>0</v>
      </c>
      <c r="B6" s="104">
        <v>0.1414213562373095</v>
      </c>
      <c r="C6" s="40">
        <v>4</v>
      </c>
      <c r="D6" s="40">
        <v>92</v>
      </c>
      <c r="E6" s="40">
        <v>4</v>
      </c>
      <c r="G6" s="104"/>
      <c r="H6" s="135" t="s">
        <v>26</v>
      </c>
      <c r="I6" s="3"/>
      <c r="J6" s="3"/>
      <c r="K6" s="3"/>
      <c r="L6" s="3"/>
      <c r="M6" s="3"/>
      <c r="N6" s="3"/>
      <c r="O6" s="3"/>
      <c r="Q6" s="136"/>
    </row>
    <row r="7" spans="1:17">
      <c r="A7" s="131" t="s">
        <v>3</v>
      </c>
      <c r="B7" s="104">
        <v>0.17320508075688773</v>
      </c>
      <c r="C7" s="40">
        <v>6</v>
      </c>
      <c r="D7" s="40">
        <v>88</v>
      </c>
      <c r="E7" s="40">
        <v>6</v>
      </c>
      <c r="G7" s="40"/>
      <c r="H7" s="137" t="s">
        <v>626</v>
      </c>
      <c r="I7" s="42"/>
      <c r="J7" s="42"/>
      <c r="K7" s="42"/>
      <c r="L7" s="42"/>
      <c r="M7" s="42"/>
      <c r="N7" s="42"/>
      <c r="O7" s="42"/>
      <c r="P7" s="140"/>
      <c r="Q7" s="138"/>
    </row>
    <row r="8" spans="1:17">
      <c r="A8" s="131" t="s">
        <v>1</v>
      </c>
      <c r="B8" s="104">
        <v>0.2</v>
      </c>
      <c r="C8" s="40">
        <v>8</v>
      </c>
      <c r="D8" s="40">
        <v>84</v>
      </c>
      <c r="E8" s="40">
        <v>8</v>
      </c>
    </row>
    <row r="9" spans="1:17">
      <c r="A9" s="131" t="s">
        <v>4</v>
      </c>
      <c r="B9" s="104">
        <v>0.23452078799117146</v>
      </c>
      <c r="C9" s="40">
        <v>11</v>
      </c>
      <c r="D9" s="40">
        <v>78</v>
      </c>
      <c r="E9" s="40">
        <v>11</v>
      </c>
      <c r="G9" s="105" t="s">
        <v>88</v>
      </c>
    </row>
    <row r="10" spans="1:17">
      <c r="A10" s="131" t="s">
        <v>2</v>
      </c>
      <c r="B10" s="104">
        <v>0.27386127875258304</v>
      </c>
      <c r="C10" s="40">
        <v>15</v>
      </c>
      <c r="D10" s="40">
        <v>70</v>
      </c>
      <c r="E10" s="40">
        <v>15</v>
      </c>
      <c r="G10" s="105" t="s">
        <v>89</v>
      </c>
    </row>
    <row r="11" spans="1:17">
      <c r="A11" s="131" t="s">
        <v>624</v>
      </c>
      <c r="B11" s="104">
        <v>0.31622776601683794</v>
      </c>
      <c r="C11" s="40">
        <v>20</v>
      </c>
      <c r="D11" s="40">
        <v>60</v>
      </c>
      <c r="E11" s="40">
        <v>20</v>
      </c>
      <c r="G11" s="105" t="s">
        <v>90</v>
      </c>
    </row>
    <row r="12" spans="1:17">
      <c r="A12" s="131" t="s">
        <v>625</v>
      </c>
      <c r="B12" s="104">
        <v>0.35355339059327379</v>
      </c>
      <c r="C12" s="40">
        <v>25</v>
      </c>
      <c r="D12" s="40">
        <v>50</v>
      </c>
      <c r="E12" s="40">
        <v>25</v>
      </c>
    </row>
    <row r="13" spans="1:17">
      <c r="A13" s="131" t="s">
        <v>8</v>
      </c>
      <c r="B13" s="104">
        <v>0.40620192023179802</v>
      </c>
      <c r="C13" s="40">
        <v>33</v>
      </c>
      <c r="D13" s="40">
        <v>34</v>
      </c>
      <c r="E13" s="40">
        <v>33</v>
      </c>
    </row>
    <row r="16" spans="1:17">
      <c r="A16" s="60" t="s">
        <v>43</v>
      </c>
      <c r="B16" s="59"/>
    </row>
    <row r="17" spans="1:21">
      <c r="A17" s="131" t="s">
        <v>35</v>
      </c>
      <c r="B17" s="4" t="b">
        <f>FALSE</f>
        <v>0</v>
      </c>
      <c r="C17" s="45" t="s">
        <v>40</v>
      </c>
      <c r="D17" s="57"/>
      <c r="E17" s="57"/>
      <c r="F17" s="57"/>
      <c r="G17" s="57"/>
      <c r="H17" s="57"/>
      <c r="I17" s="57"/>
      <c r="J17" s="57"/>
      <c r="K17" s="57"/>
      <c r="L17" s="144" t="s">
        <v>630</v>
      </c>
      <c r="M17" s="57"/>
      <c r="N17" s="57"/>
      <c r="O17" s="57"/>
      <c r="P17" s="57"/>
      <c r="Q17" s="57"/>
      <c r="R17" s="57"/>
      <c r="S17" s="57"/>
      <c r="T17" s="57"/>
      <c r="U17" s="58"/>
    </row>
    <row r="18" spans="1:21">
      <c r="A18" s="131" t="s">
        <v>34</v>
      </c>
      <c r="B18" s="4" t="b">
        <f>TRUE</f>
        <v>1</v>
      </c>
      <c r="C18" s="45" t="s">
        <v>48</v>
      </c>
      <c r="D18" s="57"/>
      <c r="E18" s="57"/>
      <c r="F18" s="57"/>
      <c r="G18" s="57"/>
      <c r="H18" s="57"/>
      <c r="I18" s="57"/>
      <c r="J18" s="57"/>
      <c r="K18" s="57"/>
      <c r="L18" s="144" t="s">
        <v>629</v>
      </c>
      <c r="M18" s="57"/>
      <c r="N18" s="57"/>
      <c r="O18" s="57"/>
      <c r="P18" s="57"/>
      <c r="Q18" s="57"/>
      <c r="R18" s="57"/>
      <c r="S18" s="57"/>
      <c r="T18" s="57"/>
      <c r="U18" s="58"/>
    </row>
    <row r="21" spans="1:21">
      <c r="A21" s="60" t="s">
        <v>42</v>
      </c>
      <c r="B21" s="59"/>
    </row>
    <row r="22" spans="1:21">
      <c r="A22" s="131" t="s">
        <v>36</v>
      </c>
      <c r="B22" s="4" t="b">
        <f>TRUE</f>
        <v>1</v>
      </c>
    </row>
    <row r="23" spans="1:21">
      <c r="A23" s="131" t="s">
        <v>37</v>
      </c>
      <c r="B23" s="4" t="b">
        <f>FALSE</f>
        <v>0</v>
      </c>
    </row>
    <row r="24" spans="1:21">
      <c r="A24" s="145" t="s">
        <v>631</v>
      </c>
    </row>
    <row r="25" spans="1:21">
      <c r="A25" s="145"/>
    </row>
    <row r="26" spans="1:21">
      <c r="A26" s="37" t="s">
        <v>636</v>
      </c>
    </row>
    <row r="27" spans="1:21">
      <c r="A27" s="132">
        <v>0.5</v>
      </c>
    </row>
    <row r="28" spans="1:21">
      <c r="A28" s="132">
        <v>0.75</v>
      </c>
    </row>
    <row r="29" spans="1:21">
      <c r="A29" s="132">
        <v>1</v>
      </c>
    </row>
    <row r="30" spans="1:21">
      <c r="A30" s="132">
        <v>1.25</v>
      </c>
    </row>
    <row r="31" spans="1:21">
      <c r="A31" s="132">
        <v>1.5</v>
      </c>
    </row>
    <row r="32" spans="1:21">
      <c r="A32" s="132">
        <v>2</v>
      </c>
    </row>
    <row r="33" spans="1:5">
      <c r="A33" s="132">
        <v>2.5</v>
      </c>
    </row>
    <row r="34" spans="1:5">
      <c r="A34" s="145"/>
    </row>
    <row r="35" spans="1:5">
      <c r="A35" s="145"/>
    </row>
    <row r="36" spans="1:5">
      <c r="A36" s="37" t="s">
        <v>770</v>
      </c>
      <c r="B36" s="39" t="s">
        <v>22</v>
      </c>
      <c r="C36" s="39" t="s">
        <v>23</v>
      </c>
      <c r="D36" s="39" t="s">
        <v>774</v>
      </c>
      <c r="E36" s="39" t="s">
        <v>663</v>
      </c>
    </row>
    <row r="37" spans="1:5">
      <c r="A37" s="132" t="s">
        <v>771</v>
      </c>
      <c r="B37" s="4">
        <f>'1921-2025 Historical Data'!K8</f>
        <v>74</v>
      </c>
      <c r="C37" s="4">
        <f>'1921-2025 Historical Data'!K9</f>
        <v>108</v>
      </c>
      <c r="D37" s="4">
        <f>'1921-2025 Historical Data'!K6</f>
        <v>93.142857142857139</v>
      </c>
      <c r="E37" s="4">
        <f>'1921-2025 Historical Data'!K7</f>
        <v>7.5787027052047362</v>
      </c>
    </row>
    <row r="38" spans="1:5">
      <c r="A38" s="132" t="s">
        <v>772</v>
      </c>
      <c r="B38" s="4">
        <f>'1921-2025 Historical Data'!O8</f>
        <v>74</v>
      </c>
      <c r="C38" s="4">
        <f>'1921-2025 Historical Data'!O9</f>
        <v>102</v>
      </c>
      <c r="D38" s="4">
        <f>'1921-2025 Historical Data'!O6</f>
        <v>90.18</v>
      </c>
      <c r="E38" s="4">
        <f>'1921-2025 Historical Data'!O7</f>
        <v>6.8313688233032774</v>
      </c>
    </row>
    <row r="39" spans="1:5">
      <c r="A39" s="132" t="s">
        <v>773</v>
      </c>
      <c r="B39" s="4">
        <f>'1921-2025 Historical Data'!S8</f>
        <v>76</v>
      </c>
      <c r="C39" s="4">
        <f>'1921-2025 Historical Data'!S9</f>
        <v>100</v>
      </c>
      <c r="D39" s="4">
        <f>'1921-2025 Historical Data'!S6</f>
        <v>89.12</v>
      </c>
      <c r="E39" s="4">
        <f>'1921-2025 Historical Data'!S7</f>
        <v>6.6951923049304565</v>
      </c>
    </row>
    <row r="40" spans="1:5">
      <c r="A40" s="145"/>
    </row>
    <row r="41" spans="1:5">
      <c r="A41" s="145"/>
    </row>
    <row r="42" spans="1:5">
      <c r="A42" s="74" t="str">
        <f>CONCATENATE("Version ",'Change Log'!$B$3," – © 2022-",YEAR('Change Log'!$A$3),IF('Change Log'!$C$3="William W. Davis",", William W. Davis, MSPM, PMP",CONCATENATE(", original copyright holder is William W. Davis, MSPM, PMP; later modified by ",'Change Log'!$C$3)))</f>
        <v>Version 1.4 – © 2022-2025, William W. Davis, MSPM, PMP</v>
      </c>
    </row>
    <row r="44" spans="1:5">
      <c r="A44" s="73" t="s">
        <v>86</v>
      </c>
    </row>
    <row r="45" spans="1:5">
      <c r="A45" s="73" t="s">
        <v>46</v>
      </c>
    </row>
    <row r="46" spans="1:5">
      <c r="A46" s="73" t="s">
        <v>85</v>
      </c>
    </row>
    <row r="47" spans="1:5">
      <c r="A47" s="73" t="s">
        <v>87</v>
      </c>
    </row>
    <row r="48" spans="1:5">
      <c r="A48" s="73" t="s">
        <v>608</v>
      </c>
    </row>
    <row r="49" spans="1:5">
      <c r="A49" s="73" t="s">
        <v>609</v>
      </c>
    </row>
    <row r="50" spans="1:5">
      <c r="A50" s="73"/>
    </row>
    <row r="51" spans="1:5">
      <c r="A51" s="73" t="s">
        <v>610</v>
      </c>
    </row>
    <row r="52" spans="1:5">
      <c r="A52" s="73" t="s">
        <v>45</v>
      </c>
    </row>
    <row r="53" spans="1:5">
      <c r="A53" s="240" t="s">
        <v>613</v>
      </c>
      <c r="B53" s="240"/>
      <c r="C53" s="240"/>
      <c r="D53" s="240"/>
      <c r="E53" s="240"/>
    </row>
  </sheetData>
  <mergeCells count="1">
    <mergeCell ref="A53:E53"/>
  </mergeCells>
  <hyperlinks>
    <hyperlink ref="A53" r:id="rId1" xr:uid="{CB0C657B-843F-4808-9737-130DA41A4B92}"/>
  </hyperlinks>
  <pageMargins left="0.7" right="0.7" top="0.75" bottom="0.75" header="0.3" footer="0.3"/>
  <pageSetup orientation="portrait" horizontalDpi="0" verticalDpi="0"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9AAD7-856A-4514-ABB9-F3C6B105C840}">
  <dimension ref="A1:G32"/>
  <sheetViews>
    <sheetView showGridLines="0" showRowColHeaders="0" zoomScaleNormal="100" workbookViewId="0">
      <selection activeCell="A33" sqref="A33"/>
    </sheetView>
  </sheetViews>
  <sheetFormatPr defaultColWidth="9.1328125" defaultRowHeight="14.25"/>
  <cols>
    <col min="1" max="16384" width="9.1328125" style="5"/>
  </cols>
  <sheetData>
    <row r="1" spans="1:5" ht="28.5">
      <c r="A1" s="122" t="s">
        <v>614</v>
      </c>
    </row>
    <row r="3" spans="1:5">
      <c r="E3" s="102" t="s">
        <v>73</v>
      </c>
    </row>
    <row r="4" spans="1:5" ht="15.75">
      <c r="E4" s="102" t="s">
        <v>612</v>
      </c>
    </row>
    <row r="5" spans="1:5">
      <c r="E5" s="102"/>
    </row>
    <row r="6" spans="1:5">
      <c r="E6" s="102" t="s">
        <v>84</v>
      </c>
    </row>
    <row r="7" spans="1:5">
      <c r="E7" s="102" t="s">
        <v>74</v>
      </c>
    </row>
    <row r="8" spans="1:5">
      <c r="E8" s="102" t="s">
        <v>75</v>
      </c>
    </row>
    <row r="9" spans="1:5">
      <c r="E9" s="102" t="s">
        <v>76</v>
      </c>
    </row>
    <row r="10" spans="1:5">
      <c r="E10" s="102"/>
    </row>
    <row r="11" spans="1:5">
      <c r="E11" s="102" t="s">
        <v>77</v>
      </c>
    </row>
    <row r="12" spans="1:5">
      <c r="E12" s="102" t="s">
        <v>83</v>
      </c>
    </row>
    <row r="13" spans="1:5">
      <c r="E13" s="102" t="s">
        <v>80</v>
      </c>
    </row>
    <row r="14" spans="1:5">
      <c r="E14" s="102" t="s">
        <v>81</v>
      </c>
    </row>
    <row r="15" spans="1:5">
      <c r="E15" s="103" t="s">
        <v>82</v>
      </c>
    </row>
    <row r="16" spans="1:5">
      <c r="E16" s="102"/>
    </row>
    <row r="17" spans="1:7">
      <c r="E17" s="225" t="s">
        <v>78</v>
      </c>
      <c r="F17" s="225"/>
      <c r="G17" s="225"/>
    </row>
    <row r="18" spans="1:7">
      <c r="E18" s="102" t="s">
        <v>79</v>
      </c>
    </row>
    <row r="24" spans="1:7">
      <c r="A24" s="6"/>
      <c r="F24" s="6"/>
    </row>
    <row r="25" spans="1:7">
      <c r="A25" s="67"/>
      <c r="B25" s="67"/>
      <c r="C25" s="67"/>
      <c r="D25" s="67"/>
      <c r="E25" s="67"/>
      <c r="F25" s="67"/>
    </row>
    <row r="26" spans="1:7">
      <c r="A26" s="67"/>
      <c r="B26" s="67"/>
      <c r="F26" s="6"/>
    </row>
    <row r="27" spans="1:7">
      <c r="A27" s="67"/>
      <c r="B27" s="67"/>
      <c r="F27" s="6"/>
    </row>
    <row r="28" spans="1:7">
      <c r="A28" s="67"/>
      <c r="B28" s="67"/>
      <c r="F28" s="6"/>
    </row>
    <row r="30" spans="1:7">
      <c r="A30" s="123" t="s">
        <v>615</v>
      </c>
    </row>
    <row r="31" spans="1:7">
      <c r="A31" s="124" t="s">
        <v>616</v>
      </c>
    </row>
    <row r="32" spans="1:7">
      <c r="A32" s="124" t="s">
        <v>617</v>
      </c>
    </row>
  </sheetData>
  <mergeCells count="1">
    <mergeCell ref="E17:G17"/>
  </mergeCells>
  <hyperlinks>
    <hyperlink ref="A26:B26" r:id="rId1" display="Take a Pluralsight course on Statistical PERT" xr:uid="{C397DDEA-C337-4B8D-B0A0-EABA9BAC56F4}"/>
    <hyperlink ref="E17:G17" r:id="rId2" display="Visit the Collabinart website" xr:uid="{15F5FA51-97CB-4F6A-9DFC-1391D2095B37}"/>
  </hyperlinks>
  <pageMargins left="0.7" right="0.7" top="0.75" bottom="0.75" header="0.3" footer="0.3"/>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Welcome!</vt:lpstr>
      <vt:lpstr>README for Version 1</vt:lpstr>
      <vt:lpstr>Super Simple SPERT®</vt:lpstr>
      <vt:lpstr>SPERT® 1921-2025</vt:lpstr>
      <vt:lpstr>SPERT® 1976-2025</vt:lpstr>
      <vt:lpstr>SPERT® 2001-2025</vt:lpstr>
      <vt:lpstr>1921-2025 Historical Data</vt:lpstr>
      <vt:lpstr>VLookups</vt:lpstr>
      <vt:lpstr>Collabinart®</vt:lpstr>
      <vt:lpstr>Change Log</vt:lpstr>
      <vt:lpstr>GNU GPL</vt:lpstr>
    </vt:vector>
  </TitlesOfParts>
  <Company>William W. Davis, MSPM, PMP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Statistical PERT® Cherry Blossom Edition</dc:title>
  <dc:creator>William W. Davis</dc:creator>
  <dc:description>Copyright 2022-2025, William W. Davis, MSPM, PMP  Licensed under the GNU General Public License.</dc:description>
  <cp:lastModifiedBy>William W. Davis</cp:lastModifiedBy>
  <dcterms:created xsi:type="dcterms:W3CDTF">2014-10-13T19:50:16Z</dcterms:created>
  <dcterms:modified xsi:type="dcterms:W3CDTF">2025-04-07T02:53:20Z</dcterms:modified>
</cp:coreProperties>
</file>